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ACKUP\2019 FINAL\"/>
    </mc:Choice>
  </mc:AlternateContent>
  <bookViews>
    <workbookView xWindow="-120" yWindow="-120" windowWidth="29040" windowHeight="16440"/>
  </bookViews>
  <sheets>
    <sheet name="Orçamento" sheetId="1" r:id="rId1"/>
    <sheet name="Cronograma" sheetId="4" r:id="rId2"/>
    <sheet name="Quantitativo" sheetId="2" r:id="rId3"/>
  </sheets>
  <externalReferences>
    <externalReference r:id="rId4"/>
  </externalReferences>
  <definedNames>
    <definedName name="_xlnm.Print_Area" localSheetId="1">Cronograma!$A$1:$T$22</definedName>
    <definedName name="_xlnm.Print_Titles" localSheetId="0">Orçamento!$1:$8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1" l="1"/>
  <c r="G137" i="1" l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 l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95" i="1"/>
  <c r="G96" i="1"/>
  <c r="G97" i="1"/>
  <c r="G98" i="1"/>
  <c r="G99" i="1"/>
  <c r="G100" i="1"/>
  <c r="G101" i="1"/>
  <c r="G102" i="1"/>
  <c r="G103" i="1"/>
  <c r="G104" i="1"/>
  <c r="G94" i="1"/>
  <c r="G93" i="1"/>
  <c r="G92" i="1"/>
  <c r="G138" i="1" l="1"/>
  <c r="F240" i="1"/>
  <c r="F259" i="1"/>
  <c r="H226" i="2"/>
  <c r="F206" i="2"/>
  <c r="H206" i="2" s="1"/>
  <c r="H207" i="2" s="1"/>
  <c r="D67" i="1" s="1"/>
  <c r="G67" i="1" s="1"/>
  <c r="F59" i="1"/>
  <c r="F205" i="2"/>
  <c r="H205" i="2" s="1"/>
  <c r="F204" i="2"/>
  <c r="H204" i="2" s="1"/>
  <c r="F261" i="1"/>
  <c r="F248" i="1"/>
  <c r="F247" i="1"/>
  <c r="F245" i="1"/>
  <c r="F244" i="1"/>
  <c r="F243" i="1"/>
  <c r="F242" i="1"/>
  <c r="F241" i="1"/>
  <c r="F197" i="1"/>
  <c r="F179" i="1"/>
  <c r="F178" i="1"/>
  <c r="F177" i="1"/>
  <c r="F176" i="1"/>
  <c r="F76" i="1"/>
  <c r="F63" i="1"/>
  <c r="F33" i="1"/>
  <c r="F32" i="1"/>
  <c r="F57" i="1"/>
  <c r="H83" i="2"/>
  <c r="H84" i="2" s="1"/>
  <c r="D35" i="1" s="1"/>
  <c r="H173" i="2"/>
  <c r="H172" i="2"/>
  <c r="D88" i="1"/>
  <c r="F87" i="1"/>
  <c r="D85" i="1"/>
  <c r="T236" i="2"/>
  <c r="U236" i="2" s="1"/>
  <c r="T235" i="2"/>
  <c r="U235" i="2" s="1"/>
  <c r="G35" i="1" l="1"/>
  <c r="H174" i="2"/>
  <c r="U237" i="2"/>
  <c r="V237" i="2" s="1"/>
  <c r="D261" i="1"/>
  <c r="D254" i="1"/>
  <c r="D253" i="1"/>
  <c r="D200" i="1"/>
  <c r="H227" i="2"/>
  <c r="D80" i="1" s="1"/>
  <c r="H171" i="2" l="1"/>
  <c r="H101" i="2"/>
  <c r="F98" i="2"/>
  <c r="G98" i="2"/>
  <c r="H129" i="2"/>
  <c r="H97" i="2"/>
  <c r="G96" i="2"/>
  <c r="F96" i="2"/>
  <c r="F95" i="2"/>
  <c r="H95" i="2" s="1"/>
  <c r="H98" i="2" l="1"/>
  <c r="F75" i="1"/>
  <c r="F72" i="1"/>
  <c r="F47" i="1"/>
  <c r="F45" i="1"/>
  <c r="F34" i="1"/>
  <c r="F246" i="1"/>
  <c r="F237" i="1"/>
  <c r="F58" i="1" l="1"/>
  <c r="F29" i="1"/>
  <c r="F24" i="1"/>
  <c r="F260" i="1" l="1"/>
  <c r="F258" i="1"/>
  <c r="F256" i="1"/>
  <c r="F255" i="1"/>
  <c r="F249" i="1"/>
  <c r="F254" i="1"/>
  <c r="F239" i="1"/>
  <c r="F238" i="1"/>
  <c r="F236" i="1"/>
  <c r="F235" i="1"/>
  <c r="F234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5" i="1" l="1"/>
  <c r="F174" i="1"/>
  <c r="F173" i="1"/>
  <c r="F172" i="1"/>
  <c r="F171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86" i="1"/>
  <c r="F85" i="1"/>
  <c r="F84" i="1"/>
  <c r="F83" i="1"/>
  <c r="F82" i="1"/>
  <c r="F81" i="1"/>
  <c r="F80" i="1"/>
  <c r="F66" i="1"/>
  <c r="F65" i="1"/>
  <c r="F64" i="1"/>
  <c r="F56" i="1"/>
  <c r="F55" i="1"/>
  <c r="F54" i="1"/>
  <c r="F53" i="1"/>
  <c r="F49" i="1"/>
  <c r="F48" i="1"/>
  <c r="F46" i="1"/>
  <c r="F41" i="1"/>
  <c r="F40" i="1"/>
  <c r="F30" i="1"/>
  <c r="F25" i="1"/>
  <c r="F23" i="1"/>
  <c r="F22" i="1"/>
  <c r="F21" i="1"/>
  <c r="F20" i="1"/>
  <c r="F19" i="1"/>
  <c r="F15" i="1"/>
  <c r="F14" i="1" l="1"/>
  <c r="F13" i="1"/>
  <c r="F11" i="1"/>
  <c r="F10" i="1"/>
  <c r="G229" i="1" l="1"/>
  <c r="H198" i="2" l="1"/>
  <c r="C20" i="4" l="1"/>
  <c r="C19" i="4"/>
  <c r="C18" i="4"/>
  <c r="C17" i="4"/>
  <c r="C16" i="4"/>
  <c r="C15" i="4"/>
  <c r="C14" i="4"/>
  <c r="C13" i="4"/>
  <c r="C12" i="4"/>
  <c r="C11" i="4"/>
  <c r="C10" i="4"/>
  <c r="C9" i="4"/>
  <c r="C8" i="4"/>
  <c r="J2" i="4"/>
  <c r="A3" i="4"/>
  <c r="A2" i="4"/>
  <c r="A1" i="4"/>
  <c r="T21" i="4"/>
  <c r="R21" i="4"/>
  <c r="D6" i="4"/>
  <c r="C6" i="4"/>
  <c r="A6" i="4"/>
  <c r="G151" i="1" l="1"/>
  <c r="G152" i="1"/>
  <c r="G261" i="1"/>
  <c r="D17" i="4" l="1"/>
  <c r="L17" i="4" s="1"/>
  <c r="G260" i="1"/>
  <c r="G258" i="1"/>
  <c r="G259" i="1"/>
  <c r="G256" i="1"/>
  <c r="G255" i="1"/>
  <c r="G29" i="2"/>
  <c r="G28" i="2"/>
  <c r="H28" i="2" s="1"/>
  <c r="G254" i="1"/>
  <c r="G253" i="1"/>
  <c r="D248" i="1"/>
  <c r="G248" i="1" s="1"/>
  <c r="D247" i="1"/>
  <c r="G247" i="1" s="1"/>
  <c r="D245" i="1"/>
  <c r="G245" i="1" s="1"/>
  <c r="D244" i="1"/>
  <c r="G244" i="1" s="1"/>
  <c r="D243" i="1"/>
  <c r="G243" i="1" s="1"/>
  <c r="G242" i="1"/>
  <c r="G246" i="1"/>
  <c r="G241" i="1"/>
  <c r="G237" i="1"/>
  <c r="G239" i="1"/>
  <c r="G157" i="1"/>
  <c r="G158" i="1"/>
  <c r="G159" i="1"/>
  <c r="G160" i="1"/>
  <c r="G161" i="1"/>
  <c r="G163" i="1"/>
  <c r="G164" i="1"/>
  <c r="G143" i="1"/>
  <c r="G228" i="1"/>
  <c r="G230" i="1"/>
  <c r="D202" i="1"/>
  <c r="G225" i="1"/>
  <c r="G224" i="1"/>
  <c r="G219" i="1"/>
  <c r="G213" i="1"/>
  <c r="G207" i="1"/>
  <c r="D227" i="1"/>
  <c r="D226" i="1"/>
  <c r="D203" i="1"/>
  <c r="D201" i="1"/>
  <c r="G196" i="1"/>
  <c r="G195" i="1"/>
  <c r="G189" i="1"/>
  <c r="G188" i="1"/>
  <c r="G187" i="1"/>
  <c r="G186" i="1"/>
  <c r="G185" i="1"/>
  <c r="G184" i="1"/>
  <c r="G183" i="1"/>
  <c r="G182" i="1"/>
  <c r="D176" i="1"/>
  <c r="D174" i="1"/>
  <c r="D171" i="1"/>
  <c r="D169" i="1"/>
  <c r="D170" i="1"/>
  <c r="D168" i="1"/>
  <c r="D167" i="1"/>
  <c r="D166" i="1"/>
  <c r="D165" i="1"/>
  <c r="D162" i="1"/>
  <c r="G162" i="1" s="1"/>
  <c r="D156" i="1"/>
  <c r="G156" i="1" s="1"/>
  <c r="D155" i="1"/>
  <c r="D154" i="1"/>
  <c r="D153" i="1"/>
  <c r="D149" i="1"/>
  <c r="D150" i="1"/>
  <c r="D148" i="1"/>
  <c r="D147" i="1"/>
  <c r="D142" i="1"/>
  <c r="G142" i="1" s="1"/>
  <c r="D146" i="1"/>
  <c r="D145" i="1"/>
  <c r="D144" i="1"/>
  <c r="H231" i="2"/>
  <c r="D82" i="1" s="1"/>
  <c r="G82" i="1" s="1"/>
  <c r="H228" i="2"/>
  <c r="H229" i="2" s="1"/>
  <c r="D81" i="1" s="1"/>
  <c r="G81" i="1" s="1"/>
  <c r="G85" i="1"/>
  <c r="G80" i="1"/>
  <c r="H212" i="2"/>
  <c r="H213" i="2" s="1"/>
  <c r="G210" i="2"/>
  <c r="H210" i="2" s="1"/>
  <c r="H96" i="2"/>
  <c r="J93" i="2"/>
  <c r="K87" i="2"/>
  <c r="G66" i="1"/>
  <c r="H201" i="2"/>
  <c r="H202" i="2"/>
  <c r="H200" i="2"/>
  <c r="H199" i="2"/>
  <c r="G65" i="1"/>
  <c r="G64" i="1"/>
  <c r="H193" i="2"/>
  <c r="H196" i="2"/>
  <c r="H195" i="2"/>
  <c r="H194" i="2"/>
  <c r="H192" i="2"/>
  <c r="G63" i="1"/>
  <c r="H190" i="2"/>
  <c r="H189" i="2"/>
  <c r="H188" i="2"/>
  <c r="H187" i="2"/>
  <c r="H184" i="2"/>
  <c r="H183" i="2"/>
  <c r="H182" i="2"/>
  <c r="H181" i="2"/>
  <c r="H180" i="2"/>
  <c r="H177" i="2"/>
  <c r="H176" i="2"/>
  <c r="F175" i="2"/>
  <c r="H175" i="2" s="1"/>
  <c r="G58" i="1"/>
  <c r="H167" i="2"/>
  <c r="O112" i="2"/>
  <c r="O111" i="2"/>
  <c r="O110" i="2"/>
  <c r="H160" i="2"/>
  <c r="H161" i="2"/>
  <c r="H159" i="2"/>
  <c r="H158" i="2"/>
  <c r="H157" i="2"/>
  <c r="H156" i="2"/>
  <c r="H155" i="2"/>
  <c r="H154" i="2"/>
  <c r="H132" i="2"/>
  <c r="H131" i="2"/>
  <c r="H133" i="2"/>
  <c r="H130" i="2"/>
  <c r="D48" i="1" s="1"/>
  <c r="H122" i="2"/>
  <c r="H121" i="2"/>
  <c r="H120" i="2"/>
  <c r="D46" i="1" s="1"/>
  <c r="H66" i="2"/>
  <c r="H117" i="2"/>
  <c r="H123" i="2" s="1"/>
  <c r="G41" i="1"/>
  <c r="F114" i="2"/>
  <c r="H114" i="2" s="1"/>
  <c r="H109" i="2"/>
  <c r="H94" i="2"/>
  <c r="H93" i="2"/>
  <c r="H90" i="2"/>
  <c r="H89" i="2"/>
  <c r="H88" i="2"/>
  <c r="H87" i="2"/>
  <c r="H233" i="2" l="1"/>
  <c r="F238" i="2" s="1"/>
  <c r="H238" i="2" s="1"/>
  <c r="D86" i="1" s="1"/>
  <c r="G86" i="1" s="1"/>
  <c r="D29" i="1"/>
  <c r="G29" i="1" s="1"/>
  <c r="F234" i="2"/>
  <c r="H234" i="2" s="1"/>
  <c r="D84" i="1" s="1"/>
  <c r="G84" i="1" s="1"/>
  <c r="H214" i="2"/>
  <c r="D72" i="1"/>
  <c r="G72" i="1" s="1"/>
  <c r="H100" i="2"/>
  <c r="H102" i="2" s="1"/>
  <c r="G262" i="1"/>
  <c r="D20" i="4" s="1"/>
  <c r="J17" i="4"/>
  <c r="P17" i="4"/>
  <c r="N17" i="4"/>
  <c r="G68" i="1"/>
  <c r="D14" i="4" s="1"/>
  <c r="H197" i="2"/>
  <c r="H219" i="2" s="1"/>
  <c r="H221" i="2" s="1"/>
  <c r="D75" i="1" s="1"/>
  <c r="G75" i="1" s="1"/>
  <c r="H203" i="2"/>
  <c r="H191" i="2"/>
  <c r="H178" i="2"/>
  <c r="H185" i="2"/>
  <c r="H162" i="2"/>
  <c r="H134" i="2"/>
  <c r="H124" i="2"/>
  <c r="D47" i="1" s="1"/>
  <c r="G47" i="1" s="1"/>
  <c r="H111" i="2"/>
  <c r="H112" i="2"/>
  <c r="H110" i="2"/>
  <c r="H105" i="2"/>
  <c r="H106" i="2" s="1"/>
  <c r="G34" i="1"/>
  <c r="G30" i="1"/>
  <c r="G32" i="1"/>
  <c r="G33" i="1"/>
  <c r="H79" i="2"/>
  <c r="H81" i="2" s="1"/>
  <c r="H76" i="2"/>
  <c r="H72" i="2"/>
  <c r="H71" i="2"/>
  <c r="H69" i="2"/>
  <c r="H68" i="2"/>
  <c r="H63" i="2"/>
  <c r="H58" i="2"/>
  <c r="H56" i="2"/>
  <c r="F26" i="2"/>
  <c r="H26" i="2" s="1"/>
  <c r="H54" i="2"/>
  <c r="G22" i="1"/>
  <c r="G23" i="1"/>
  <c r="G24" i="1"/>
  <c r="G25" i="1"/>
  <c r="H52" i="2"/>
  <c r="H51" i="2"/>
  <c r="H50" i="2"/>
  <c r="G21" i="1"/>
  <c r="H44" i="2"/>
  <c r="F47" i="2" s="1"/>
  <c r="H47" i="2" s="1"/>
  <c r="H43" i="2"/>
  <c r="F46" i="2" s="1"/>
  <c r="H46" i="2" s="1"/>
  <c r="H42" i="2"/>
  <c r="F45" i="2" s="1"/>
  <c r="H45" i="2" s="1"/>
  <c r="H35" i="2"/>
  <c r="F39" i="2" s="1"/>
  <c r="H39" i="2" s="1"/>
  <c r="H33" i="2"/>
  <c r="F37" i="2" s="1"/>
  <c r="H37" i="2" s="1"/>
  <c r="H34" i="2"/>
  <c r="F38" i="2" s="1"/>
  <c r="H38" i="2" s="1"/>
  <c r="H32" i="2"/>
  <c r="F36" i="2" s="1"/>
  <c r="H36" i="2" s="1"/>
  <c r="G20" i="1"/>
  <c r="H29" i="2"/>
  <c r="H27" i="2"/>
  <c r="H21" i="2"/>
  <c r="H20" i="2"/>
  <c r="H19" i="2"/>
  <c r="G14" i="1"/>
  <c r="G13" i="1"/>
  <c r="H18" i="2"/>
  <c r="H17" i="2"/>
  <c r="A8" i="2"/>
  <c r="A7" i="2"/>
  <c r="A6" i="2"/>
  <c r="A5" i="2"/>
  <c r="G227" i="1"/>
  <c r="G199" i="1"/>
  <c r="G240" i="1"/>
  <c r="G235" i="1"/>
  <c r="G234" i="1"/>
  <c r="G214" i="1"/>
  <c r="G190" i="1"/>
  <c r="G193" i="1"/>
  <c r="G191" i="1"/>
  <c r="G180" i="1"/>
  <c r="G145" i="1"/>
  <c r="G147" i="1"/>
  <c r="G150" i="1"/>
  <c r="G169" i="1"/>
  <c r="G167" i="1"/>
  <c r="G171" i="1"/>
  <c r="G168" i="1"/>
  <c r="G215" i="1"/>
  <c r="G212" i="1"/>
  <c r="G201" i="1"/>
  <c r="G202" i="1"/>
  <c r="G200" i="1"/>
  <c r="G216" i="1"/>
  <c r="G206" i="1"/>
  <c r="G204" i="1"/>
  <c r="G210" i="1"/>
  <c r="G223" i="1"/>
  <c r="G217" i="1"/>
  <c r="G220" i="1"/>
  <c r="H151" i="2"/>
  <c r="H150" i="2"/>
  <c r="H149" i="2"/>
  <c r="H143" i="2"/>
  <c r="G146" i="1"/>
  <c r="G149" i="1"/>
  <c r="G153" i="1"/>
  <c r="G154" i="1"/>
  <c r="G155" i="1"/>
  <c r="G165" i="1"/>
  <c r="G166" i="1"/>
  <c r="G170" i="1"/>
  <c r="G172" i="1"/>
  <c r="G173" i="1"/>
  <c r="G174" i="1"/>
  <c r="G175" i="1"/>
  <c r="G176" i="1"/>
  <c r="G177" i="1"/>
  <c r="G178" i="1"/>
  <c r="G179" i="1"/>
  <c r="G181" i="1"/>
  <c r="G192" i="1"/>
  <c r="G194" i="1"/>
  <c r="G197" i="1"/>
  <c r="G198" i="1"/>
  <c r="G208" i="1"/>
  <c r="G218" i="1"/>
  <c r="G221" i="1"/>
  <c r="G222" i="1"/>
  <c r="G226" i="1"/>
  <c r="G144" i="1"/>
  <c r="G148" i="1"/>
  <c r="G209" i="1"/>
  <c r="G205" i="1"/>
  <c r="G203" i="1"/>
  <c r="G211" i="1"/>
  <c r="G236" i="1"/>
  <c r="G238" i="1"/>
  <c r="G249" i="1"/>
  <c r="G57" i="1"/>
  <c r="G59" i="1"/>
  <c r="H144" i="2"/>
  <c r="H145" i="2"/>
  <c r="H146" i="2"/>
  <c r="H147" i="2"/>
  <c r="H148" i="2"/>
  <c r="G46" i="1"/>
  <c r="G48" i="1"/>
  <c r="G49" i="1"/>
  <c r="G45" i="1"/>
  <c r="G40" i="1"/>
  <c r="O103" i="2"/>
  <c r="O104" i="2"/>
  <c r="O105" i="2"/>
  <c r="O107" i="2"/>
  <c r="O108" i="2"/>
  <c r="O102" i="2"/>
  <c r="G19" i="1"/>
  <c r="G11" i="1"/>
  <c r="G15" i="1"/>
  <c r="H14" i="2"/>
  <c r="G10" i="1"/>
  <c r="D39" i="1" l="1"/>
  <c r="G39" i="1" s="1"/>
  <c r="G42" i="1" s="1"/>
  <c r="D11" i="4" s="1"/>
  <c r="F137" i="2"/>
  <c r="G36" i="1"/>
  <c r="D10" i="4" s="1"/>
  <c r="D83" i="1"/>
  <c r="G83" i="1" s="1"/>
  <c r="G88" i="1"/>
  <c r="H240" i="2"/>
  <c r="D87" i="1" s="1"/>
  <c r="G87" i="1" s="1"/>
  <c r="G231" i="1"/>
  <c r="D18" i="4" s="1"/>
  <c r="H30" i="2"/>
  <c r="P14" i="4"/>
  <c r="N14" i="4"/>
  <c r="P20" i="4"/>
  <c r="N20" i="4"/>
  <c r="G250" i="1"/>
  <c r="D19" i="4" s="1"/>
  <c r="H137" i="2"/>
  <c r="H186" i="2"/>
  <c r="G16" i="1"/>
  <c r="D8" i="4" s="1"/>
  <c r="G50" i="1"/>
  <c r="D12" i="4" s="1"/>
  <c r="O113" i="2"/>
  <c r="H152" i="2"/>
  <c r="H163" i="2" s="1"/>
  <c r="G26" i="1"/>
  <c r="D9" i="4" s="1"/>
  <c r="H73" i="2"/>
  <c r="H53" i="2"/>
  <c r="H59" i="2"/>
  <c r="H113" i="2"/>
  <c r="H115" i="2" s="1"/>
  <c r="F40" i="2"/>
  <c r="H40" i="2" s="1"/>
  <c r="F48" i="2"/>
  <c r="H48" i="2" s="1"/>
  <c r="G89" i="1" l="1"/>
  <c r="D16" i="4" s="1"/>
  <c r="N16" i="4" s="1"/>
  <c r="F140" i="2"/>
  <c r="D56" i="1"/>
  <c r="G56" i="1" s="1"/>
  <c r="H11" i="4"/>
  <c r="J11" i="4"/>
  <c r="L18" i="4"/>
  <c r="P18" i="4"/>
  <c r="J18" i="4"/>
  <c r="F9" i="4"/>
  <c r="H9" i="4"/>
  <c r="L12" i="4"/>
  <c r="J12" i="4"/>
  <c r="L19" i="4"/>
  <c r="N19" i="4"/>
  <c r="H10" i="4"/>
  <c r="J10" i="4"/>
  <c r="F8" i="4"/>
  <c r="G140" i="2"/>
  <c r="H222" i="2"/>
  <c r="H223" i="2" s="1"/>
  <c r="D76" i="1" s="1"/>
  <c r="G76" i="1" s="1"/>
  <c r="H138" i="2"/>
  <c r="D53" i="1" s="1"/>
  <c r="G53" i="1" s="1"/>
  <c r="H209" i="2"/>
  <c r="H211" i="2" s="1"/>
  <c r="H49" i="2"/>
  <c r="L16" i="4" l="1"/>
  <c r="H140" i="2"/>
  <c r="H216" i="2"/>
  <c r="H217" i="2" s="1"/>
  <c r="D74" i="1" s="1"/>
  <c r="G74" i="1" s="1"/>
  <c r="D71" i="1"/>
  <c r="G71" i="1" s="1"/>
  <c r="F21" i="4"/>
  <c r="F22" i="4" s="1"/>
  <c r="J21" i="4"/>
  <c r="H21" i="4"/>
  <c r="F142" i="2"/>
  <c r="H215" i="2"/>
  <c r="D73" i="1" s="1"/>
  <c r="G73" i="1" s="1"/>
  <c r="G77" i="1" l="1"/>
  <c r="D15" i="4" s="1"/>
  <c r="P15" i="4" s="1"/>
  <c r="P21" i="4" s="1"/>
  <c r="G142" i="2"/>
  <c r="H142" i="2" s="1"/>
  <c r="D55" i="1" s="1"/>
  <c r="G55" i="1" s="1"/>
  <c r="D54" i="1"/>
  <c r="G54" i="1" s="1"/>
  <c r="H22" i="4"/>
  <c r="N15" i="4" l="1"/>
  <c r="G60" i="1"/>
  <c r="D13" i="4" s="1"/>
  <c r="L13" i="4" s="1"/>
  <c r="L21" i="4" s="1"/>
  <c r="J22" i="4"/>
  <c r="N13" i="4" l="1"/>
  <c r="N21" i="4" s="1"/>
  <c r="D21" i="4"/>
  <c r="S21" i="4" s="1"/>
  <c r="G263" i="1"/>
  <c r="H60" i="1" s="1"/>
  <c r="L22" i="4"/>
  <c r="H26" i="1" l="1"/>
  <c r="H36" i="1"/>
  <c r="H68" i="1"/>
  <c r="H89" i="1"/>
  <c r="H42" i="1"/>
  <c r="H262" i="1"/>
  <c r="H138" i="1"/>
  <c r="H250" i="1"/>
  <c r="H231" i="1"/>
  <c r="N22" i="4"/>
  <c r="P22" i="4" s="1"/>
  <c r="H50" i="1"/>
  <c r="H77" i="1"/>
  <c r="H16" i="1"/>
  <c r="I21" i="4"/>
  <c r="Q21" i="4"/>
  <c r="D22" i="4"/>
  <c r="I22" i="4" s="1"/>
  <c r="K21" i="4"/>
  <c r="G21" i="4"/>
  <c r="E21" i="4"/>
  <c r="M21" i="4"/>
  <c r="O21" i="4"/>
  <c r="H263" i="1" l="1"/>
  <c r="G22" i="4"/>
  <c r="M22" i="4"/>
  <c r="E22" i="4"/>
  <c r="K22" i="4"/>
  <c r="O22" i="4"/>
  <c r="R22" i="4"/>
  <c r="T22" i="4" l="1"/>
  <c r="S22" i="4" s="1"/>
  <c r="Q22" i="4"/>
</calcChain>
</file>

<file path=xl/sharedStrings.xml><?xml version="1.0" encoding="utf-8"?>
<sst xmlns="http://schemas.openxmlformats.org/spreadsheetml/2006/main" count="1390" uniqueCount="929">
  <si>
    <t>ORÇAMENTO</t>
  </si>
  <si>
    <t>Obra: Ginásio de Esportes de Rodeio 12</t>
  </si>
  <si>
    <t xml:space="preserve">ORÇAMENTO ESTIMATIVO </t>
  </si>
  <si>
    <t>ÍTEM</t>
  </si>
  <si>
    <t>COD</t>
  </si>
  <si>
    <t>SERVIÇO</t>
  </si>
  <si>
    <t>QUANT</t>
  </si>
  <si>
    <t>UNID</t>
  </si>
  <si>
    <t>R$ UNIT</t>
  </si>
  <si>
    <t>R$ TOTAL</t>
  </si>
  <si>
    <t>% DA OBRA</t>
  </si>
  <si>
    <t>1.</t>
  </si>
  <si>
    <t>Serviços Iniciais</t>
  </si>
  <si>
    <t>1.1</t>
  </si>
  <si>
    <t>(D)42566</t>
  </si>
  <si>
    <t>Depósito</t>
  </si>
  <si>
    <t>m²</t>
  </si>
  <si>
    <t>1.2</t>
  </si>
  <si>
    <t>(D)43223</t>
  </si>
  <si>
    <t>Sanitário</t>
  </si>
  <si>
    <t>unid</t>
  </si>
  <si>
    <t>1.3</t>
  </si>
  <si>
    <t>Placa da obra</t>
  </si>
  <si>
    <t>1.3.1</t>
  </si>
  <si>
    <t>(D)42571</t>
  </si>
  <si>
    <t xml:space="preserve">Placa convenio </t>
  </si>
  <si>
    <t>1.3.2</t>
  </si>
  <si>
    <t>(D)47981</t>
  </si>
  <si>
    <t>Placa responsável técnico</t>
  </si>
  <si>
    <t>1.4</t>
  </si>
  <si>
    <t>(D)42591</t>
  </si>
  <si>
    <t>Locação da obra</t>
  </si>
  <si>
    <t>Total do item 1</t>
  </si>
  <si>
    <t>2.</t>
  </si>
  <si>
    <t>Infraestrutura</t>
  </si>
  <si>
    <t>2.1</t>
  </si>
  <si>
    <t>(D)43246</t>
  </si>
  <si>
    <t>Estaca pré-moldada até 15 ton</t>
  </si>
  <si>
    <t>m</t>
  </si>
  <si>
    <t>2.2</t>
  </si>
  <si>
    <t>(D)42616</t>
  </si>
  <si>
    <t>Sapata isolada</t>
  </si>
  <si>
    <t>m³</t>
  </si>
  <si>
    <t>2.3</t>
  </si>
  <si>
    <t>(D)42583</t>
  </si>
  <si>
    <t>Escavações manuais</t>
  </si>
  <si>
    <t>2.4</t>
  </si>
  <si>
    <t>(D)42588</t>
  </si>
  <si>
    <t>Escavações mecânicas</t>
  </si>
  <si>
    <t>2.5</t>
  </si>
  <si>
    <t>(D)43916</t>
  </si>
  <si>
    <t>Arrasamento das estacas</t>
  </si>
  <si>
    <t>2.6</t>
  </si>
  <si>
    <t>(D)42611/42631/42635</t>
  </si>
  <si>
    <t>Vigas Baldrame</t>
  </si>
  <si>
    <t>2.7</t>
  </si>
  <si>
    <t>(D)42805</t>
  </si>
  <si>
    <t>Impermeabilização de baldrame</t>
  </si>
  <si>
    <t>Total ítem 2</t>
  </si>
  <si>
    <t>3.</t>
  </si>
  <si>
    <t>Supraestrutura</t>
  </si>
  <si>
    <t>3.1</t>
  </si>
  <si>
    <t>Galpão</t>
  </si>
  <si>
    <t>3.2</t>
  </si>
  <si>
    <t>(D)40089</t>
  </si>
  <si>
    <t>Estrutura de concreto armado 25MPA</t>
  </si>
  <si>
    <t>3.3</t>
  </si>
  <si>
    <t>Laje treliçada</t>
  </si>
  <si>
    <t>3.3.1</t>
  </si>
  <si>
    <t>(C)C10.28.25.10.017</t>
  </si>
  <si>
    <t>Laje treliçada para forro</t>
  </si>
  <si>
    <t>3.3.2</t>
  </si>
  <si>
    <t>(C)C10.28.25.10.016</t>
  </si>
  <si>
    <t>Laje treliçada para piso</t>
  </si>
  <si>
    <t>3.3.3</t>
  </si>
  <si>
    <t>(S)73361</t>
  </si>
  <si>
    <t xml:space="preserve">Concreto cicloplico </t>
  </si>
  <si>
    <t>Total ítem 3</t>
  </si>
  <si>
    <t>4.</t>
  </si>
  <si>
    <t>Paredes, paineis e esquadrias</t>
  </si>
  <si>
    <t>4.1</t>
  </si>
  <si>
    <t>(S)87473</t>
  </si>
  <si>
    <t>Tijolo cerâmico 6 furos</t>
  </si>
  <si>
    <t>4.2</t>
  </si>
  <si>
    <t>(D)42639</t>
  </si>
  <si>
    <t>Vergas de concreto</t>
  </si>
  <si>
    <t>4.3</t>
  </si>
  <si>
    <t>(D)42768</t>
  </si>
  <si>
    <t>Placa de granito</t>
  </si>
  <si>
    <t>Esquadrias</t>
  </si>
  <si>
    <t>(D)42704</t>
  </si>
  <si>
    <t>Portas de madeira</t>
  </si>
  <si>
    <t>(D)42698</t>
  </si>
  <si>
    <t>(D)43903</t>
  </si>
  <si>
    <t>Total ítem 4</t>
  </si>
  <si>
    <t>5.</t>
  </si>
  <si>
    <t>Cobertura e proteção</t>
  </si>
  <si>
    <t>5.1</t>
  </si>
  <si>
    <t>(S)92543</t>
  </si>
  <si>
    <t>Estrutura de madeira</t>
  </si>
  <si>
    <t>5.2</t>
  </si>
  <si>
    <t>(S)94213</t>
  </si>
  <si>
    <t>5.3</t>
  </si>
  <si>
    <t>(D)42741</t>
  </si>
  <si>
    <t>Calhas</t>
  </si>
  <si>
    <t>5.4</t>
  </si>
  <si>
    <t>(D)43838</t>
  </si>
  <si>
    <t>Rufos</t>
  </si>
  <si>
    <t>Total ítem 5</t>
  </si>
  <si>
    <t>6.</t>
  </si>
  <si>
    <t>Revestimentos</t>
  </si>
  <si>
    <t>6.1</t>
  </si>
  <si>
    <t>(D)42760</t>
  </si>
  <si>
    <t>Chapisco</t>
  </si>
  <si>
    <t>6.2</t>
  </si>
  <si>
    <t>(D)42765</t>
  </si>
  <si>
    <t>Reboco</t>
  </si>
  <si>
    <t>6.3</t>
  </si>
  <si>
    <t>(D)42754</t>
  </si>
  <si>
    <t>Azulejo</t>
  </si>
  <si>
    <t>6.4</t>
  </si>
  <si>
    <t>Letreiro em aço inoxidável polido</t>
  </si>
  <si>
    <t>6.5</t>
  </si>
  <si>
    <t>6.6</t>
  </si>
  <si>
    <t>6.7</t>
  </si>
  <si>
    <t>Total ítem 6</t>
  </si>
  <si>
    <t>7.</t>
  </si>
  <si>
    <t>Pintura</t>
  </si>
  <si>
    <t>7.1</t>
  </si>
  <si>
    <t>(S)88485</t>
  </si>
  <si>
    <t>Selador acrílico em parede</t>
  </si>
  <si>
    <t>7.2</t>
  </si>
  <si>
    <t>(S)88488</t>
  </si>
  <si>
    <t>Tinta acrílica em teto</t>
  </si>
  <si>
    <t>(S)88489</t>
  </si>
  <si>
    <t>Tinta acrílica em parede</t>
  </si>
  <si>
    <t>7.3</t>
  </si>
  <si>
    <t>Total ítem 7</t>
  </si>
  <si>
    <t>8.</t>
  </si>
  <si>
    <t>8.1</t>
  </si>
  <si>
    <t>(D)42836</t>
  </si>
  <si>
    <t>Cimentado de regularização</t>
  </si>
  <si>
    <t>8.2</t>
  </si>
  <si>
    <t>8.3</t>
  </si>
  <si>
    <t>Total do ítem 8</t>
  </si>
  <si>
    <t>9.</t>
  </si>
  <si>
    <t>Instalações elétricas, telefone e lógica</t>
  </si>
  <si>
    <t>Cabo isolado 25mm2 1000V</t>
  </si>
  <si>
    <t>Caixas baixa 2x4" PVC retangular</t>
  </si>
  <si>
    <t>DPS Classe II (45 kA)</t>
  </si>
  <si>
    <t>Interruptor de embutir simples</t>
  </si>
  <si>
    <t>Luminária Tubular LED 2 X 16W Colocada</t>
  </si>
  <si>
    <t>10.</t>
  </si>
  <si>
    <t>Instalações hidrossanitárias e pluviais</t>
  </si>
  <si>
    <t>Hidraulicas</t>
  </si>
  <si>
    <t>(D)43121</t>
  </si>
  <si>
    <t>Tubo Soldável 50 mm</t>
  </si>
  <si>
    <t>(D)43119</t>
  </si>
  <si>
    <t>Tubo Soldável 32 mm</t>
  </si>
  <si>
    <t>(D)43118</t>
  </si>
  <si>
    <t>Tubo Soldável 25 mm</t>
  </si>
  <si>
    <t>(D)43062</t>
  </si>
  <si>
    <t>Joelho 90º Soldável 25 mm</t>
  </si>
  <si>
    <t>pc</t>
  </si>
  <si>
    <t>(D)43064</t>
  </si>
  <si>
    <t>Joelho 90º Soldável 32 mm</t>
  </si>
  <si>
    <t>(D)43074</t>
  </si>
  <si>
    <t>Joelho 90º Soldável  bucha de latão 25 x1/2</t>
  </si>
  <si>
    <t>pç</t>
  </si>
  <si>
    <t>(D)43071</t>
  </si>
  <si>
    <t>Joelho 90º Soldável  bucha de latão 25 x3/4</t>
  </si>
  <si>
    <t>(D)43088</t>
  </si>
  <si>
    <t>Tê 90º Soldável 32 mm</t>
  </si>
  <si>
    <t>(D)43087</t>
  </si>
  <si>
    <t>Tê 90º Soldável 25 mm</t>
  </si>
  <si>
    <t>(D)43100</t>
  </si>
  <si>
    <t>Tê de Redução 90º Soldável 32x25 mm</t>
  </si>
  <si>
    <t>(D)43097</t>
  </si>
  <si>
    <t>Tê red 90º Sold bucha de latão 25mmx1/2"</t>
  </si>
  <si>
    <t>(D)43002</t>
  </si>
  <si>
    <t>Bucha de red sold 32x25mm</t>
  </si>
  <si>
    <t>(D)42993</t>
  </si>
  <si>
    <t>Adap. sold. curto c/ bolsa e rosca 25mmx3/4"</t>
  </si>
  <si>
    <t>(D)42997</t>
  </si>
  <si>
    <t>Adap. sold. curto c/ bolsa e rosca 32mmx1"</t>
  </si>
  <si>
    <t>(D)42932</t>
  </si>
  <si>
    <t>Registro de gaveta com canopla cromada 3/4"</t>
  </si>
  <si>
    <t>(D)42929</t>
  </si>
  <si>
    <t>Registro de gaveta com canopla cromada 1"</t>
  </si>
  <si>
    <t>(D)43042</t>
  </si>
  <si>
    <t>Engate flexível plastico 30 cm</t>
  </si>
  <si>
    <t>(S)86886</t>
  </si>
  <si>
    <t>Engate flexível cromado com canopla</t>
  </si>
  <si>
    <t>(D)42937</t>
  </si>
  <si>
    <t>(D)42948</t>
  </si>
  <si>
    <t>Torneira bóia 3/4"</t>
  </si>
  <si>
    <t>(D)43871</t>
  </si>
  <si>
    <t>Vaso sanitário c/ caixa acoplada e assento</t>
  </si>
  <si>
    <t>(D)43922</t>
  </si>
  <si>
    <t>Lavatório c/ col susp e torneira presmatic</t>
  </si>
  <si>
    <t>Dispenser papel toalha</t>
  </si>
  <si>
    <t>Dispenser papel higienico</t>
  </si>
  <si>
    <t>Dispenser sabonete líquido</t>
  </si>
  <si>
    <t>Porta toalha de banho</t>
  </si>
  <si>
    <t>(D)47980</t>
  </si>
  <si>
    <t>Conj 3 barras PNE</t>
  </si>
  <si>
    <t>cj</t>
  </si>
  <si>
    <t>(D)42917</t>
  </si>
  <si>
    <t>Mictório completo</t>
  </si>
  <si>
    <t>C10.72.19.70.006</t>
  </si>
  <si>
    <t>Reservatório de fibra  2.000 litros</t>
  </si>
  <si>
    <t>Sanitárias e Pluviais</t>
  </si>
  <si>
    <t>(D)43213</t>
  </si>
  <si>
    <t>Tubo PVC 150 mm</t>
  </si>
  <si>
    <t>(D)43212</t>
  </si>
  <si>
    <t>Tubo PVC 100mm</t>
  </si>
  <si>
    <t>(D)43211</t>
  </si>
  <si>
    <t>Tubo PVC 75 mm</t>
  </si>
  <si>
    <t>(D)43210</t>
  </si>
  <si>
    <t>Tubo PVC 50 mm</t>
  </si>
  <si>
    <t>(D)43215</t>
  </si>
  <si>
    <t>Tubo PVC 40mm</t>
  </si>
  <si>
    <t>(D)43163</t>
  </si>
  <si>
    <t>Joelho 90º  100mm</t>
  </si>
  <si>
    <t>(D)43175</t>
  </si>
  <si>
    <t>Junção simples 100x100mm</t>
  </si>
  <si>
    <t>(D)43164</t>
  </si>
  <si>
    <t>Joelho 90º  50mm</t>
  </si>
  <si>
    <t>(D)43162</t>
  </si>
  <si>
    <t>(D)43156</t>
  </si>
  <si>
    <t>Joelho 45º 100 mm</t>
  </si>
  <si>
    <t>(D)43157</t>
  </si>
  <si>
    <t>Joelho 45º 50 mm</t>
  </si>
  <si>
    <t>(D)43159</t>
  </si>
  <si>
    <t>Joelho 45º 40 mm</t>
  </si>
  <si>
    <t>(D)43208</t>
  </si>
  <si>
    <t>Tê 40mm</t>
  </si>
  <si>
    <t>(D)43200</t>
  </si>
  <si>
    <t>Tê 100x50</t>
  </si>
  <si>
    <t>(D)43207</t>
  </si>
  <si>
    <t>Tê 75x50mm</t>
  </si>
  <si>
    <t>(D)43204</t>
  </si>
  <si>
    <t>Tê 50 mm</t>
  </si>
  <si>
    <t>(D)43179</t>
  </si>
  <si>
    <t>Junção simples 100x50mm</t>
  </si>
  <si>
    <t>(D)43129</t>
  </si>
  <si>
    <t>Caixa sifonada 100x100x50 mm</t>
  </si>
  <si>
    <t>un</t>
  </si>
  <si>
    <t>(D)43131</t>
  </si>
  <si>
    <t>Caixa sifonada 100x150x50 mm</t>
  </si>
  <si>
    <t>(D)47977</t>
  </si>
  <si>
    <t>Caixa de insp. de conc. 50x50x40cm c/ tampa</t>
  </si>
  <si>
    <t>(D)43186</t>
  </si>
  <si>
    <t>(D)43196</t>
  </si>
  <si>
    <t>Red excentrica 75x50mm</t>
  </si>
  <si>
    <t>Luva red 50x40mm</t>
  </si>
  <si>
    <t>(D)43148</t>
  </si>
  <si>
    <t>Curva 90° 40mm</t>
  </si>
  <si>
    <t>(D)43197</t>
  </si>
  <si>
    <t>Sifão flexível</t>
  </si>
  <si>
    <t>(D)42968</t>
  </si>
  <si>
    <t>Terminal de ventilação 50mm</t>
  </si>
  <si>
    <t>11.</t>
  </si>
  <si>
    <t>Instalações preventivas de incêndio</t>
  </si>
  <si>
    <t>(D)43612</t>
  </si>
  <si>
    <t>Extintor PQS 4 kg</t>
  </si>
  <si>
    <t>(D)43729</t>
  </si>
  <si>
    <t>(D)43728</t>
  </si>
  <si>
    <t>Placa de lotação em PVC</t>
  </si>
  <si>
    <t>(D)43684</t>
  </si>
  <si>
    <t>Abrigo completo de gás - 2 P13kg</t>
  </si>
  <si>
    <t>Total ítem 11</t>
  </si>
  <si>
    <t>12.</t>
  </si>
  <si>
    <t>12.1</t>
  </si>
  <si>
    <t>13.</t>
  </si>
  <si>
    <t>Complementação da obra</t>
  </si>
  <si>
    <t>13.1</t>
  </si>
  <si>
    <t>Limpeza da obra</t>
  </si>
  <si>
    <t>TOTAL DO ORÇAMENTO</t>
  </si>
  <si>
    <t>QUANTITATIVOS</t>
  </si>
  <si>
    <t>Serviço</t>
  </si>
  <si>
    <t>Cálculos</t>
  </si>
  <si>
    <t>1. Serviços Iniciais</t>
  </si>
  <si>
    <t>1.1 Depósito</t>
  </si>
  <si>
    <t>Definido no memorial descritivo</t>
  </si>
  <si>
    <t xml:space="preserve">Área = </t>
  </si>
  <si>
    <t>1.2 Sanitário</t>
  </si>
  <si>
    <t>Definido como 1 unidade sanitária</t>
  </si>
  <si>
    <t>1.3 Placas da obra</t>
  </si>
  <si>
    <t>1.3.1 Placa convenio</t>
  </si>
  <si>
    <t xml:space="preserve">1 Placa = </t>
  </si>
  <si>
    <t>1.3.2 Placa responsável técnico</t>
  </si>
  <si>
    <t>1.4 Demolição</t>
  </si>
  <si>
    <t>A</t>
  </si>
  <si>
    <t>1.4.1 De alvenaria</t>
  </si>
  <si>
    <t>Paredes ext.=C=28+28+28+42+42xA=5</t>
  </si>
  <si>
    <t>1.4.1 De piso concreto 8cm</t>
  </si>
  <si>
    <t>1.4 Locação da obra</t>
  </si>
  <si>
    <t>Equivale a área a ser construída</t>
  </si>
  <si>
    <t>2. Infraestrutura</t>
  </si>
  <si>
    <t>2.1 Estaca</t>
  </si>
  <si>
    <t>18 pilares pré-moldados contendo 2 estacads por pilar</t>
  </si>
  <si>
    <t>Prof. Estimada = 15,00 m</t>
  </si>
  <si>
    <t>Total=</t>
  </si>
  <si>
    <t>2.2 Sapatas isoladas</t>
  </si>
  <si>
    <t>bwc e vest.+5%</t>
  </si>
  <si>
    <t>Arquib. e est.met+5%</t>
  </si>
  <si>
    <t>2.3 Escavações manuais</t>
  </si>
  <si>
    <t>Sapatas vestiários</t>
  </si>
  <si>
    <t>S1</t>
  </si>
  <si>
    <t>S14</t>
  </si>
  <si>
    <t>S3</t>
  </si>
  <si>
    <t>S2</t>
  </si>
  <si>
    <t xml:space="preserve">S1 </t>
  </si>
  <si>
    <t>Sub-total sapatas</t>
  </si>
  <si>
    <t>Sapatas arquibanca e estrutura metálica</t>
  </si>
  <si>
    <t>S7</t>
  </si>
  <si>
    <t>S13</t>
  </si>
  <si>
    <t>Total geral</t>
  </si>
  <si>
    <t>2.4 Escavações mecânicas</t>
  </si>
  <si>
    <t>Qtde</t>
  </si>
  <si>
    <t>pilares</t>
  </si>
  <si>
    <t>Para o cofre dos pilares pré-moldados</t>
  </si>
  <si>
    <t>A. base</t>
  </si>
  <si>
    <t>Profundidade</t>
  </si>
  <si>
    <t>Total</t>
  </si>
  <si>
    <t>2.5 Arrasamento das estacas</t>
  </si>
  <si>
    <t>Pilares x est.</t>
  </si>
  <si>
    <t>2.6 Vigas baldrame</t>
  </si>
  <si>
    <t>Vestiários e bwc</t>
  </si>
  <si>
    <t>VB</t>
  </si>
  <si>
    <t>Arquibanca</t>
  </si>
  <si>
    <t>2.7 Impermeabilização de baldrame</t>
  </si>
  <si>
    <t>somatório de comprimento das vigas</t>
  </si>
  <si>
    <t>((5,25x8)+(22x2)+4,40+2,00+4,41+3,90+3,90+5,4+1,5+4,14+22,35+4,14)x0,35</t>
  </si>
  <si>
    <t>3. Supraestrutura</t>
  </si>
  <si>
    <t>3.1 Galpão</t>
  </si>
  <si>
    <t>3.2 Estrutura de concreto armado 25MPA</t>
  </si>
  <si>
    <t>Pilares</t>
  </si>
  <si>
    <t>Vigas laje</t>
  </si>
  <si>
    <t>Arquibancada</t>
  </si>
  <si>
    <t>Vigas</t>
  </si>
  <si>
    <t>3.3 Laje treliça</t>
  </si>
  <si>
    <t>3.3.1  Laje treliça para forro</t>
  </si>
  <si>
    <t>Vestiários e bwc - reservatório</t>
  </si>
  <si>
    <t>Área</t>
  </si>
  <si>
    <t>3.3.2 Laje treliça para piso</t>
  </si>
  <si>
    <t>Rampa</t>
  </si>
  <si>
    <t>Reservatório</t>
  </si>
  <si>
    <t>3.3.3 Concreto cicplopico</t>
  </si>
  <si>
    <t>4. Paredes, paineis e esquadrias</t>
  </si>
  <si>
    <t>4.1 Paredes</t>
  </si>
  <si>
    <t>Vestiários e BWC (parede x altura)</t>
  </si>
  <si>
    <t>Ginásio</t>
  </si>
  <si>
    <t>Subtotal paredes</t>
  </si>
  <si>
    <t>Desconto esquadrias</t>
  </si>
  <si>
    <t>4.3.1 Janelas</t>
  </si>
  <si>
    <t>Total das paredes</t>
  </si>
  <si>
    <t>JI</t>
  </si>
  <si>
    <t>4.2 Vergas</t>
  </si>
  <si>
    <t>BWC e Vestiário</t>
  </si>
  <si>
    <t>J2</t>
  </si>
  <si>
    <t>5,40 + 22,00 + 5,40 + 2,50 + 2,50</t>
  </si>
  <si>
    <t>J3</t>
  </si>
  <si>
    <t>Dimensões</t>
  </si>
  <si>
    <t>J4</t>
  </si>
  <si>
    <t>Volume</t>
  </si>
  <si>
    <t>P1</t>
  </si>
  <si>
    <t>P2</t>
  </si>
  <si>
    <t>4.3 Placa de granito polido</t>
  </si>
  <si>
    <t>P4</t>
  </si>
  <si>
    <t>P5</t>
  </si>
  <si>
    <t>P6</t>
  </si>
  <si>
    <t>Vest fem</t>
  </si>
  <si>
    <t>TOTAL</t>
  </si>
  <si>
    <t>5. Coberturas e proteções</t>
  </si>
  <si>
    <t>5.1 Estrutura de madeira</t>
  </si>
  <si>
    <t>6. Revestimento</t>
  </si>
  <si>
    <t>6.1 Chapisco</t>
  </si>
  <si>
    <t xml:space="preserve">Área das portas = </t>
  </si>
  <si>
    <t>Multiplicador</t>
  </si>
  <si>
    <t>Total =</t>
  </si>
  <si>
    <t>Levantamentos no projeto elétrico</t>
  </si>
  <si>
    <t>lógica</t>
  </si>
  <si>
    <t>Levantamentos no projeto</t>
  </si>
  <si>
    <t>pluviais</t>
  </si>
  <si>
    <t>Levantamento no projeto</t>
  </si>
  <si>
    <t>de incêndio</t>
  </si>
  <si>
    <t>CRONOGRAMA FÍSICO - FINANCEIRO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</si>
  <si>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</si>
  <si>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</si>
  <si>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</si>
  <si>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</si>
  <si>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</si>
  <si>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</si>
  <si>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</si>
  <si>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</si>
  <si>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%</t>
  </si>
  <si>
    <t>R$</t>
  </si>
  <si>
    <t>TOTAL - MÊS</t>
  </si>
  <si>
    <t>TOTAL - ACUMULADO</t>
  </si>
  <si>
    <t xml:space="preserve">Total </t>
  </si>
  <si>
    <t>Desconto P3</t>
  </si>
  <si>
    <t>Total Geral</t>
  </si>
  <si>
    <t>Área BWC e vestiários:</t>
  </si>
  <si>
    <t>Estrutura metálica vão até 15m</t>
  </si>
  <si>
    <t>(D)42723</t>
  </si>
  <si>
    <t>5.2 Estrutura metálica vão até 15m</t>
  </si>
  <si>
    <t>Cobertura sobre arquibancada</t>
  </si>
  <si>
    <t>Área externa coberta</t>
  </si>
  <si>
    <t xml:space="preserve">Área </t>
  </si>
  <si>
    <t>Cobertura sobre área externa</t>
  </si>
  <si>
    <t>Telha metálica</t>
  </si>
  <si>
    <t>5.3 Telha metálica</t>
  </si>
  <si>
    <t xml:space="preserve">Correspondente a a. arquib </t>
  </si>
  <si>
    <t>Correspondente a a. externa</t>
  </si>
  <si>
    <t>Correspondente a a. bwc e vest</t>
  </si>
  <si>
    <t>5.5</t>
  </si>
  <si>
    <t>5.4 Calhas</t>
  </si>
  <si>
    <t>BWC e vestiários</t>
  </si>
  <si>
    <t>Externa</t>
  </si>
  <si>
    <t>5.5 Rufos</t>
  </si>
  <si>
    <t>Área interna BWC e vest (Lajes)</t>
  </si>
  <si>
    <t>Alv. x 2</t>
  </si>
  <si>
    <t>BWC P.N.E.</t>
  </si>
  <si>
    <t>Vest masc.</t>
  </si>
  <si>
    <t>BWC Fem</t>
  </si>
  <si>
    <t>BWC Masc</t>
  </si>
  <si>
    <t>Lavatório</t>
  </si>
  <si>
    <t>Sub-total</t>
  </si>
  <si>
    <t>JI x 3</t>
  </si>
  <si>
    <t>J2 x 1</t>
  </si>
  <si>
    <t>J3 x 2</t>
  </si>
  <si>
    <t>J4 x 2</t>
  </si>
  <si>
    <t>P1 x3</t>
  </si>
  <si>
    <t>P4 x 1</t>
  </si>
  <si>
    <t>P5 x 1</t>
  </si>
  <si>
    <t>P6 x 1</t>
  </si>
  <si>
    <t>QUADRA POLIESPORTIVA</t>
  </si>
  <si>
    <t>CENTRO ESPORTIVO</t>
  </si>
  <si>
    <t>RODEIO 12</t>
  </si>
  <si>
    <t>C10.99.05.15.656</t>
  </si>
  <si>
    <t>Comp.x Alt</t>
  </si>
  <si>
    <t>Emboço</t>
  </si>
  <si>
    <t>ACM</t>
  </si>
  <si>
    <t>Marquises</t>
  </si>
  <si>
    <t>Litocerâmica</t>
  </si>
  <si>
    <t>Arquib.</t>
  </si>
  <si>
    <t>BWC / vest.</t>
  </si>
  <si>
    <t>Reserv</t>
  </si>
  <si>
    <t>Sub-Total</t>
  </si>
  <si>
    <t>P2 x1</t>
  </si>
  <si>
    <t>(D)42810</t>
  </si>
  <si>
    <t>6.4 Azulejo</t>
  </si>
  <si>
    <t>6.2 Emboço</t>
  </si>
  <si>
    <t>Azulejo + cerâmica</t>
  </si>
  <si>
    <t>(D)43683</t>
  </si>
  <si>
    <t>Chapisco - Emboço</t>
  </si>
  <si>
    <t>Esquadrias e peitoris</t>
  </si>
  <si>
    <t>Janelas basculantes de vidro temperado</t>
  </si>
  <si>
    <t>7.4</t>
  </si>
  <si>
    <t>7.5</t>
  </si>
  <si>
    <t>Porta veneziana de alumínio</t>
  </si>
  <si>
    <t>7.1 Janelas basculantes de vidro temperado</t>
  </si>
  <si>
    <t>(C)C10.68.20.15.032</t>
  </si>
  <si>
    <t>7.2 Portas de madeira</t>
  </si>
  <si>
    <t>P2 x 2</t>
  </si>
  <si>
    <t>P1 x 3</t>
  </si>
  <si>
    <t>7.3 Porta veneziana de alumínio</t>
  </si>
  <si>
    <t>Peitoris de janela</t>
  </si>
  <si>
    <t>J1</t>
  </si>
  <si>
    <t>Selador acrílico em teto</t>
  </si>
  <si>
    <t>(S)88484</t>
  </si>
  <si>
    <t>8.4</t>
  </si>
  <si>
    <t>8.5</t>
  </si>
  <si>
    <t>8.6</t>
  </si>
  <si>
    <t>(S)74065/001</t>
  </si>
  <si>
    <t>Esmalte sintético</t>
  </si>
  <si>
    <t>Tinta hidrofugante</t>
  </si>
  <si>
    <t>8. Pintura</t>
  </si>
  <si>
    <t>8.1 Selador acrílico em parede</t>
  </si>
  <si>
    <t>8.2 Selador acrílico em teto</t>
  </si>
  <si>
    <t>8.3 Tinta acrílica em teto</t>
  </si>
  <si>
    <t>8.4 Tinta acrílica em parede</t>
  </si>
  <si>
    <t>8.5 Esmalte sintético</t>
  </si>
  <si>
    <t>(C)10.40.10.10.025</t>
  </si>
  <si>
    <t>8.6 Tinta hidrofugante</t>
  </si>
  <si>
    <t>Área alvenaria</t>
  </si>
  <si>
    <t>Arquib</t>
  </si>
  <si>
    <t>Área de laje</t>
  </si>
  <si>
    <t>Área do selador</t>
  </si>
  <si>
    <t>Área de litoceramica</t>
  </si>
  <si>
    <t>9.1</t>
  </si>
  <si>
    <t>9.2</t>
  </si>
  <si>
    <t>9.3</t>
  </si>
  <si>
    <t>9.4</t>
  </si>
  <si>
    <t>9.5</t>
  </si>
  <si>
    <t>9.6</t>
  </si>
  <si>
    <t>Pavimentações</t>
  </si>
  <si>
    <t>(D)43268</t>
  </si>
  <si>
    <t>Contrapiso</t>
  </si>
  <si>
    <t>(D)42813</t>
  </si>
  <si>
    <t>Piso cerâmico</t>
  </si>
  <si>
    <t>(D)43237</t>
  </si>
  <si>
    <t>(D)43239</t>
  </si>
  <si>
    <t>9.7</t>
  </si>
  <si>
    <t>(D)42627</t>
  </si>
  <si>
    <t>(D)42631</t>
  </si>
  <si>
    <t>9.8</t>
  </si>
  <si>
    <t>Total ítem 9</t>
  </si>
  <si>
    <t>kg</t>
  </si>
  <si>
    <t>9. Pavimentação</t>
  </si>
  <si>
    <t>9.1 Contrapiso</t>
  </si>
  <si>
    <t>Área BWC e vest</t>
  </si>
  <si>
    <t>9.2 Cimentado de regularização</t>
  </si>
  <si>
    <t>9.3 Piso cerâmico</t>
  </si>
  <si>
    <t>Área de contrapiso</t>
  </si>
  <si>
    <t>9.4 Apiloamento mecanico</t>
  </si>
  <si>
    <t>Área interna ginasio</t>
  </si>
  <si>
    <t>Área x esp</t>
  </si>
  <si>
    <t>9.5 Leito de brita</t>
  </si>
  <si>
    <t>Área da quadra x espessura</t>
  </si>
  <si>
    <t>9.7 Concreto</t>
  </si>
  <si>
    <t>9.8 Alisamento</t>
  </si>
  <si>
    <t>Tubo Soldável 60 mm</t>
  </si>
  <si>
    <t>Tubo Soldável 75 mm</t>
  </si>
  <si>
    <t>(D)43124</t>
  </si>
  <si>
    <t>(D)43122</t>
  </si>
  <si>
    <t>Tê 90º Soldável 60 mm</t>
  </si>
  <si>
    <t>Tê 90º Soldável 75 mm</t>
  </si>
  <si>
    <t>(D)43091</t>
  </si>
  <si>
    <t>(D)43092</t>
  </si>
  <si>
    <t>Tê red 90º Sold bucha de latão 32mmx3/4"</t>
  </si>
  <si>
    <t>(D)43096</t>
  </si>
  <si>
    <t>Tê de Redução 90º Soldável 50x25 mm</t>
  </si>
  <si>
    <t>(D)43103</t>
  </si>
  <si>
    <t>Tê de Redução 90º Soldável 75x50 mm</t>
  </si>
  <si>
    <t>(D)43106</t>
  </si>
  <si>
    <t>Registro de gaveta bruto 2.1/2"</t>
  </si>
  <si>
    <t>(D)42925</t>
  </si>
  <si>
    <t>Bucha de red sold 50x25mm</t>
  </si>
  <si>
    <t>Bucha de red sold 50x32mm</t>
  </si>
  <si>
    <t>Bucha de red sold 75x50mm</t>
  </si>
  <si>
    <t>(D)43012</t>
  </si>
  <si>
    <t>(D)43013</t>
  </si>
  <si>
    <t>(D)43018</t>
  </si>
  <si>
    <t>Registro de pressão c/ canopla cromada 3/4"</t>
  </si>
  <si>
    <t>Adaptador sold. flange 75x2.1/2''</t>
  </si>
  <si>
    <t>(D)43000</t>
  </si>
  <si>
    <t>(C)16.20.05.05.7700</t>
  </si>
  <si>
    <t>(C)16.20.05.05.7750</t>
  </si>
  <si>
    <t>(C)16.20.05.05.7800</t>
  </si>
  <si>
    <t>(C)10.72.19.10.032</t>
  </si>
  <si>
    <t>Bucha de redução sold. Longa 50x32mm</t>
  </si>
  <si>
    <t>Bucha de redução sold. Longa 60x50mm</t>
  </si>
  <si>
    <t>Bucha de redução sold. Longa 60x32mm</t>
  </si>
  <si>
    <t>(D)43017</t>
  </si>
  <si>
    <t>(D)43015</t>
  </si>
  <si>
    <t>Joelho sold. 50mm</t>
  </si>
  <si>
    <t>Joelho sold. 75mm</t>
  </si>
  <si>
    <t>(D)43066</t>
  </si>
  <si>
    <t>(D)43067</t>
  </si>
  <si>
    <t>Luva sold. c/ rosca 25x3/4''</t>
  </si>
  <si>
    <t>(D)43696</t>
  </si>
  <si>
    <t>Joelho sold. rosca 20x1/2''</t>
  </si>
  <si>
    <t>(D)43880</t>
  </si>
  <si>
    <t>Chuveiro Elétrico</t>
  </si>
  <si>
    <t>(D)42906</t>
  </si>
  <si>
    <t>Balcão em granito vest. Fem. 50x330cm</t>
  </si>
  <si>
    <t>Balcão em granito vest.Masc. 50x330cm</t>
  </si>
  <si>
    <t>Balcão em granito acesso BWC 50x90cm</t>
  </si>
  <si>
    <t>Balcão em granito  BWC Masc. 50x160cm</t>
  </si>
  <si>
    <t>Balcão em granito  BWC Fem. 50x180cm</t>
  </si>
  <si>
    <t>(D)43906</t>
  </si>
  <si>
    <t>(D)43921</t>
  </si>
  <si>
    <t>Lavatório louça bancada c/torn. presssmatic</t>
  </si>
  <si>
    <t>Meia saboneteira de louça</t>
  </si>
  <si>
    <t>Curva 90º  50mm</t>
  </si>
  <si>
    <t>(D)43147</t>
  </si>
  <si>
    <t>Joelho 45º 150mm</t>
  </si>
  <si>
    <t>(D)43165</t>
  </si>
  <si>
    <t>(D)43158</t>
  </si>
  <si>
    <t>Joelho 45º 75mm</t>
  </si>
  <si>
    <t>Joelho 90º 40mm</t>
  </si>
  <si>
    <t>Red excentrica 150x100mm</t>
  </si>
  <si>
    <t>(D)43209</t>
  </si>
  <si>
    <t>Tanque séptico</t>
  </si>
  <si>
    <t>Filtro anaeróbico</t>
  </si>
  <si>
    <t>(D)43154</t>
  </si>
  <si>
    <t>(D)43153</t>
  </si>
  <si>
    <t>12.2</t>
  </si>
  <si>
    <t>12.3</t>
  </si>
  <si>
    <t>12.4</t>
  </si>
  <si>
    <t>12.5</t>
  </si>
  <si>
    <t>12.6</t>
  </si>
  <si>
    <t>12.7</t>
  </si>
  <si>
    <t>Extintor H2O 10l</t>
  </si>
  <si>
    <t>(D)43613</t>
  </si>
  <si>
    <t>Placa sinalização saída face única (261x221)</t>
  </si>
  <si>
    <t>Placa sinalização saída face única (600x300)</t>
  </si>
  <si>
    <t>Luminária PL09 Led</t>
  </si>
  <si>
    <t>Luminária de emergência 2x55</t>
  </si>
  <si>
    <t>(D)40027</t>
  </si>
  <si>
    <t>12.8</t>
  </si>
  <si>
    <t>12.9</t>
  </si>
  <si>
    <t>12.10</t>
  </si>
  <si>
    <t>12.11</t>
  </si>
  <si>
    <t>12.12</t>
  </si>
  <si>
    <t>12.13</t>
  </si>
  <si>
    <t>12.14</t>
  </si>
  <si>
    <t>Caixa de inspeção aterramento</t>
  </si>
  <si>
    <t>Cabo de cobre NU 50mm</t>
  </si>
  <si>
    <t>Eletroduto rígido 2''</t>
  </si>
  <si>
    <t>Barra de alumínio 7/8'' x 1/8''</t>
  </si>
  <si>
    <t>Haste de terra copperweld 5/8'' x 2,40m</t>
  </si>
  <si>
    <t>(C)10.76.10.43.005</t>
  </si>
  <si>
    <t>(C)10.76.70.10.020</t>
  </si>
  <si>
    <t>(C)21.05.05.15.0520</t>
  </si>
  <si>
    <t>(C)21.05.15.05.0050</t>
  </si>
  <si>
    <t>(C)21.25.05.05.0010</t>
  </si>
  <si>
    <t>12.15</t>
  </si>
  <si>
    <t>Terminal aéreo</t>
  </si>
  <si>
    <t>(C)10.76.10.20.084</t>
  </si>
  <si>
    <t>Braçadeira 2''</t>
  </si>
  <si>
    <t>12.16</t>
  </si>
  <si>
    <t>Conector aterramento 50mm²</t>
  </si>
  <si>
    <t>(C)10.76.70.10.030</t>
  </si>
  <si>
    <t>13.2</t>
  </si>
  <si>
    <t>13.3</t>
  </si>
  <si>
    <t>13.4</t>
  </si>
  <si>
    <t>13.5</t>
  </si>
  <si>
    <t>13.6</t>
  </si>
  <si>
    <t>13.7</t>
  </si>
  <si>
    <t>Rede de nylon</t>
  </si>
  <si>
    <t>(D)43870</t>
  </si>
  <si>
    <t>Mastro para bandeira</t>
  </si>
  <si>
    <t xml:space="preserve">Mastro </t>
  </si>
  <si>
    <t>(D)42864</t>
  </si>
  <si>
    <t>(D)42875</t>
  </si>
  <si>
    <t>conj</t>
  </si>
  <si>
    <t>Balizas para voleibol c/ rede</t>
  </si>
  <si>
    <t>13.5.1</t>
  </si>
  <si>
    <t>Estrutura articulada móvel p/basquete compl.</t>
  </si>
  <si>
    <t>(D)43824</t>
  </si>
  <si>
    <t>Cestas de basquete</t>
  </si>
  <si>
    <t>13.5.2</t>
  </si>
  <si>
    <t>Rede para cesta de basquete</t>
  </si>
  <si>
    <t>Trave p/ futebol de salão c/ rede</t>
  </si>
  <si>
    <t>(D)42889</t>
  </si>
  <si>
    <t>Total ítem 13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</si>
  <si>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</si>
  <si>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</si>
  <si>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</si>
  <si>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</si>
  <si>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</si>
  <si>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</si>
  <si>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</si>
  <si>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</si>
  <si>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</si>
  <si>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</si>
  <si>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</si>
  <si>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</si>
  <si>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</si>
  <si>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</si>
  <si>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</si>
  <si>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</si>
  <si>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</si>
  <si>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</si>
  <si>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</si>
  <si>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</si>
  <si>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</si>
  <si>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</si>
  <si>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</si>
  <si>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</si>
  <si>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</si>
  <si>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</si>
  <si>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</si>
  <si>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</si>
  <si>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</si>
  <si>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</si>
  <si>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</si>
  <si>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</si>
  <si>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</si>
  <si>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</si>
  <si>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</si>
  <si>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</si>
  <si>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</si>
  <si>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</si>
  <si>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</si>
  <si>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</si>
  <si>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</si>
  <si>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</si>
  <si>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</si>
  <si>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</si>
  <si>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</si>
  <si>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Bucha/Arruela de Al p/ eletroduto de 3/4"</t>
  </si>
  <si>
    <t>Luva PVC 3/4"</t>
  </si>
  <si>
    <t>Eletoduto tipo mangueira corrugada de 3/4"</t>
  </si>
  <si>
    <t>Eletroduto Kanaflex subterraneo corrug. 2"</t>
  </si>
  <si>
    <t>Fita de sinalização de condutor subterraneo</t>
  </si>
  <si>
    <t>Emenda externa T para perfilado</t>
  </si>
  <si>
    <t>Cabo de aço 1/8"</t>
  </si>
  <si>
    <t>Junta reta externa 38x38mm</t>
  </si>
  <si>
    <t>Suporte perfilado 38 x 38 mm (cabo de aço)</t>
  </si>
  <si>
    <t>(D)40106</t>
  </si>
  <si>
    <t>Cabo isolado 2,5mm2 750V</t>
  </si>
  <si>
    <t>Cabo isolado 6,0mm2 750V</t>
  </si>
  <si>
    <t>Fio de cobre Nu 16.0mm2</t>
  </si>
  <si>
    <t>Caixa de passagem 4x4" oitavada</t>
  </si>
  <si>
    <t>Disjuntor tripolar C 70A</t>
  </si>
  <si>
    <t>Disjuntor monopolar DQ 40A</t>
  </si>
  <si>
    <t>Disjuntor monopolar DQ 30A</t>
  </si>
  <si>
    <t>Luminaria quadrada LED 18w - Sobrepor</t>
  </si>
  <si>
    <t>Haste de terra 5/8 x 3.00 m</t>
  </si>
  <si>
    <t>Total do ítem 10</t>
  </si>
  <si>
    <t>Alambrado</t>
  </si>
  <si>
    <t>(C)10.84.35.05.017</t>
  </si>
  <si>
    <t>11.1</t>
  </si>
  <si>
    <t>11.1.1</t>
  </si>
  <si>
    <t>11.1.2</t>
  </si>
  <si>
    <t>11.1.5</t>
  </si>
  <si>
    <t>11.1.46</t>
  </si>
  <si>
    <t>11.1.39</t>
  </si>
  <si>
    <t>11.1.3</t>
  </si>
  <si>
    <t>11.1.4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</si>
  <si>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</si>
  <si>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</si>
  <si>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</si>
  <si>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</si>
  <si>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</si>
  <si>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</si>
  <si>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</si>
  <si>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</si>
  <si>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</si>
  <si>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</si>
  <si>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</si>
  <si>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</si>
  <si>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</si>
  <si>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</si>
  <si>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</si>
  <si>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</si>
  <si>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</si>
  <si>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</si>
  <si>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</si>
  <si>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</si>
  <si>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</si>
  <si>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</si>
  <si>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</si>
  <si>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</si>
  <si>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</si>
  <si>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</si>
  <si>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</si>
  <si>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</si>
  <si>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</si>
  <si>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</si>
  <si>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</si>
  <si>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</si>
  <si>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</si>
  <si>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11.1.40</t>
  </si>
  <si>
    <t>11.1.41</t>
  </si>
  <si>
    <t>11.1.42</t>
  </si>
  <si>
    <t>11.1.43</t>
  </si>
  <si>
    <t>11.1.44</t>
  </si>
  <si>
    <t>11.1.45</t>
  </si>
  <si>
    <t>11.1.47</t>
  </si>
  <si>
    <t>11.1.48</t>
  </si>
  <si>
    <t>11.1.49</t>
  </si>
  <si>
    <t>11.1.50</t>
  </si>
  <si>
    <t>11.1.51</t>
  </si>
  <si>
    <t>11.1.52</t>
  </si>
  <si>
    <t>11.1.53</t>
  </si>
  <si>
    <t>11.1.54</t>
  </si>
  <si>
    <t>11.1.55</t>
  </si>
  <si>
    <t>11.1.56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</si>
  <si>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</si>
  <si>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</si>
  <si>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</si>
  <si>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</si>
  <si>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</si>
  <si>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</si>
  <si>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</si>
  <si>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</si>
  <si>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</si>
  <si>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</si>
  <si>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</si>
  <si>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</si>
  <si>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</si>
  <si>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</si>
  <si>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</si>
  <si>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</si>
  <si>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</si>
  <si>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</si>
  <si>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11.2.18</t>
  </si>
  <si>
    <t>11.2.19</t>
  </si>
  <si>
    <t>11.2.20</t>
  </si>
  <si>
    <t>11.2.21</t>
  </si>
  <si>
    <t>11.2.22</t>
  </si>
  <si>
    <t>11.2.23</t>
  </si>
  <si>
    <t>11.2.24</t>
  </si>
  <si>
    <t>11.2.25</t>
  </si>
  <si>
    <t>11.2.26</t>
  </si>
  <si>
    <t>11.2.27</t>
  </si>
  <si>
    <t>11.2.28</t>
  </si>
  <si>
    <t>11.2.29</t>
  </si>
  <si>
    <t>11.2.30</t>
  </si>
  <si>
    <t>11.2.31</t>
  </si>
  <si>
    <t>PREFEITURA MUNICIPAL DE RODEIO</t>
  </si>
  <si>
    <t>CATÁLOGO DE REFERÊNCIA SERVIÇOS E CUSTOS - PREFEITURA DE JOINVILLE - DEZEMBRO DE 2015 (C)</t>
  </si>
  <si>
    <t>PESQUISA DE MERCADO - (960xx)</t>
  </si>
  <si>
    <t>REFERENCIAIS DE PREÇOS:</t>
  </si>
  <si>
    <t>7.4 Peitoris de janela</t>
  </si>
  <si>
    <t>P3 x 10</t>
  </si>
  <si>
    <t>10. Instalações elétricas, telefofone e</t>
  </si>
  <si>
    <t>11. Instalações hidrossanitárias e</t>
  </si>
  <si>
    <t>12. Instalações preventivas</t>
  </si>
  <si>
    <t>13. Complementação da obra</t>
  </si>
  <si>
    <t>(D)47983</t>
  </si>
  <si>
    <t>(D)47988</t>
  </si>
  <si>
    <t>(D)43253</t>
  </si>
  <si>
    <t>(D)43329</t>
  </si>
  <si>
    <t>(D)43359</t>
  </si>
  <si>
    <t>(D)43620</t>
  </si>
  <si>
    <t>(D)43397</t>
  </si>
  <si>
    <t>(D)43386</t>
  </si>
  <si>
    <t>(D)43384</t>
  </si>
  <si>
    <t>(D)43629</t>
  </si>
  <si>
    <t>(D)40165</t>
  </si>
  <si>
    <t>(D)43525</t>
  </si>
  <si>
    <t>-</t>
  </si>
  <si>
    <t>11.2.32</t>
  </si>
  <si>
    <t>(D)42592</t>
  </si>
  <si>
    <t>Boca de lobo</t>
  </si>
  <si>
    <t>DEINFRA</t>
  </si>
  <si>
    <t>(D)43221</t>
  </si>
  <si>
    <t>BDI UTILIZADO = 25,00%</t>
  </si>
  <si>
    <t>TABELA DEINFRA DE JANEIRO DE 2018 (D)</t>
  </si>
  <si>
    <t>Data: Abril/2019</t>
  </si>
  <si>
    <t>TABELA SINAPI MARÇO DE 2019 - DESONERADA (S)</t>
  </si>
  <si>
    <t>6.3 Reboco</t>
  </si>
  <si>
    <t>6.5 Letreiro em aço inoxidável</t>
  </si>
  <si>
    <t>Área: 1490,20m²</t>
  </si>
  <si>
    <t>9.6 Armadura</t>
  </si>
  <si>
    <t>Malha de 45,00x 24,60 a cada 20cm</t>
  </si>
  <si>
    <t>Área da quadra - Área total</t>
  </si>
  <si>
    <t>Área da quadra sem circulação</t>
  </si>
  <si>
    <t>9.9</t>
  </si>
  <si>
    <t>9.9 Piso emborrachado</t>
  </si>
  <si>
    <t>Fecahmento Metálico</t>
  </si>
  <si>
    <t>Oitão</t>
  </si>
  <si>
    <t>2x25</t>
  </si>
  <si>
    <t>Testada</t>
  </si>
  <si>
    <t>2x45,20</t>
  </si>
  <si>
    <t>3.3.4</t>
  </si>
  <si>
    <t>3.3.4 Laje marquise</t>
  </si>
  <si>
    <t>(D)42644</t>
  </si>
  <si>
    <t>Laje Marquise - concreto armado</t>
  </si>
  <si>
    <t>Catalogo</t>
  </si>
  <si>
    <t>Grade Metálica</t>
  </si>
  <si>
    <t>7.5 Grade metálica</t>
  </si>
  <si>
    <t>P7</t>
  </si>
  <si>
    <t>(D)43700</t>
  </si>
  <si>
    <t>(D)42886</t>
  </si>
  <si>
    <t>(D)43258</t>
  </si>
  <si>
    <t>Bucha/Arruela de Al p/ eletroduto de 2"</t>
  </si>
  <si>
    <t>Condulete tipo poliwetzel de 3/4"</t>
  </si>
  <si>
    <t>Adaptador p/ condulete poliwetzel de 3/4"</t>
  </si>
  <si>
    <t>Tampinha p/ condulete poliwetzel de 3/4"</t>
  </si>
  <si>
    <t>Tampa cega para condulete</t>
  </si>
  <si>
    <t>Eletroduto PVC rigido 3/4" 3 mts</t>
  </si>
  <si>
    <t>(D)43248</t>
  </si>
  <si>
    <t>Bracadeira de FeGa c/ cunha de aperto 3/4"</t>
  </si>
  <si>
    <t>Grampo para cabo de aco 1/8"</t>
  </si>
  <si>
    <t>Base de fixação externa 38x38mm</t>
  </si>
  <si>
    <t>Saída vertical eletroduto 3/4"</t>
  </si>
  <si>
    <t>Perfilado Perfurado Chapa 14- GE 38X38mm c/ Tampa</t>
  </si>
  <si>
    <t>(D)40187</t>
  </si>
  <si>
    <t>Cabo isolado 4,0mm2 750V</t>
  </si>
  <si>
    <t>(D)43322</t>
  </si>
  <si>
    <t>(D)43375</t>
  </si>
  <si>
    <t>Tampa de FeFu padrao CELESC 90x70cm</t>
  </si>
  <si>
    <t>(D)43718</t>
  </si>
  <si>
    <t>Quadro terminal forca/luz 40 a 50 disjuntores</t>
  </si>
  <si>
    <t>Disjuntor DR tetrapolar 100A 30mA - 240V</t>
  </si>
  <si>
    <t>Disjuntor monopolar 16 A</t>
  </si>
  <si>
    <t>Interruptor simples e tomada</t>
  </si>
  <si>
    <t>Tomada Universal 10A,250V p/condulete AL</t>
  </si>
  <si>
    <t xml:space="preserve">Relé de impulso telerruptor 1P 16A 230-240VCA </t>
  </si>
  <si>
    <t>Botão pulso c/led sinalizador e 1 contato NA</t>
  </si>
  <si>
    <t>Transformador de com. Mono. 100VA 220v/380 X 24vca</t>
  </si>
  <si>
    <t>(D)40015</t>
  </si>
  <si>
    <t>(D)43422</t>
  </si>
  <si>
    <t>(D)43641</t>
  </si>
  <si>
    <t>Projetor Plilips LED Essential BVP091 LED200/CW 120-277V 200W WB - 6500K</t>
  </si>
  <si>
    <t>Conector P/ Haste Grampo U</t>
  </si>
  <si>
    <t>10.46</t>
  </si>
  <si>
    <t>6.6 ACM</t>
  </si>
  <si>
    <t>6.7 Litocerâmica</t>
  </si>
  <si>
    <t>Apiloamento mecânico (piso da quadra)</t>
  </si>
  <si>
    <t>Leito de brita (piso da quadra)</t>
  </si>
  <si>
    <t>Armadura (piso da quadra)</t>
  </si>
  <si>
    <t>Concreto (piso da quadra)</t>
  </si>
  <si>
    <t>Alisamento (piso da quadra)</t>
  </si>
  <si>
    <t>Piso modular (piso da quadra)</t>
  </si>
  <si>
    <t>96006</t>
  </si>
  <si>
    <t>96007</t>
  </si>
  <si>
    <t>96008</t>
  </si>
  <si>
    <t>96009</t>
  </si>
  <si>
    <t>96010</t>
  </si>
  <si>
    <t>96011</t>
  </si>
  <si>
    <t>96012</t>
  </si>
  <si>
    <t>96013</t>
  </si>
  <si>
    <t>96014</t>
  </si>
  <si>
    <t>96015</t>
  </si>
  <si>
    <t>96016</t>
  </si>
  <si>
    <t>96017</t>
  </si>
  <si>
    <t>96018</t>
  </si>
  <si>
    <t>96019</t>
  </si>
  <si>
    <t>96020</t>
  </si>
  <si>
    <t>96021</t>
  </si>
  <si>
    <t>96022</t>
  </si>
  <si>
    <t>96023</t>
  </si>
  <si>
    <t>96024</t>
  </si>
  <si>
    <t>96025</t>
  </si>
  <si>
    <t>96026</t>
  </si>
  <si>
    <t>96029</t>
  </si>
  <si>
    <t>Obs.: Valores atualizados pelo CUB/sinduscon</t>
  </si>
  <si>
    <t>Código 96000</t>
  </si>
  <si>
    <t>Índice de atualização</t>
  </si>
  <si>
    <t>Referencias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</si>
</sst>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Trebuchet MS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rebuchet MS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70C0"/>
      <name val="Trebuchet MS"/>
      <family val="2"/>
    </font>
    <font>
      <sz val="10"/>
      <color rgb="FF0070C0"/>
      <name val="Trebuchet MS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16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</cellStyleXfs>
  <cellXfs count="383">
    <xf numFmtId="0" fontId="0" fillId="0" borderId="0" xfId="0"/>
    <xf numFmtId="43" fontId="0" fillId="0" borderId="0" xfId="0" applyNumberFormat="1"/>
    <xf numFmtId="43" fontId="0" fillId="0" borderId="11" xfId="0" applyNumberFormat="1" applyBorder="1"/>
    <xf numFmtId="43" fontId="0" fillId="0" borderId="12" xfId="0" applyNumberFormat="1" applyBorder="1"/>
    <xf numFmtId="43" fontId="0" fillId="0" borderId="16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43" fontId="0" fillId="0" borderId="21" xfId="0" applyNumberFormat="1" applyBorder="1"/>
    <xf numFmtId="43" fontId="1" fillId="0" borderId="10" xfId="0" applyNumberFormat="1" applyFont="1" applyBorder="1"/>
    <xf numFmtId="43" fontId="1" fillId="0" borderId="11" xfId="0" applyNumberFormat="1" applyFont="1" applyBorder="1"/>
    <xf numFmtId="43" fontId="1" fillId="0" borderId="22" xfId="0" applyNumberFormat="1" applyFont="1" applyBorder="1"/>
    <xf numFmtId="43" fontId="1" fillId="0" borderId="23" xfId="0" applyNumberFormat="1" applyFont="1" applyBorder="1"/>
    <xf numFmtId="43" fontId="1" fillId="0" borderId="24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4" fillId="0" borderId="0" xfId="0" applyFont="1"/>
    <xf numFmtId="0" fontId="11" fillId="0" borderId="0" xfId="0" applyFont="1" applyAlignment="1">
      <alignment horizontal="left"/>
    </xf>
    <xf numFmtId="43" fontId="13" fillId="0" borderId="0" xfId="2" applyFont="1"/>
    <xf numFmtId="43" fontId="4" fillId="0" borderId="0" xfId="2" applyFont="1" applyAlignment="1">
      <alignment horizontal="center"/>
    </xf>
    <xf numFmtId="165" fontId="17" fillId="0" borderId="0" xfId="4" applyFont="1" applyBorder="1" applyAlignment="1">
      <alignment horizontal="center"/>
    </xf>
    <xf numFmtId="165" fontId="13" fillId="0" borderId="0" xfId="4" applyFont="1" applyBorder="1"/>
    <xf numFmtId="165" fontId="18" fillId="0" borderId="0" xfId="4" applyFont="1" applyBorder="1" applyAlignment="1">
      <alignment horizontal="center"/>
    </xf>
    <xf numFmtId="165" fontId="10" fillId="0" borderId="0" xfId="4" applyFont="1" applyBorder="1"/>
    <xf numFmtId="165" fontId="19" fillId="0" borderId="0" xfId="4" applyFont="1" applyBorder="1" applyAlignment="1">
      <alignment horizontal="center"/>
    </xf>
    <xf numFmtId="165" fontId="15" fillId="0" borderId="0" xfId="4" applyFont="1" applyBorder="1" applyAlignment="1">
      <alignment horizontal="right"/>
    </xf>
    <xf numFmtId="165" fontId="15" fillId="0" borderId="9" xfId="4" applyFont="1" applyBorder="1" applyAlignment="1"/>
    <xf numFmtId="9" fontId="20" fillId="0" borderId="55" xfId="5" applyFont="1" applyBorder="1" applyAlignment="1">
      <alignment horizontal="center"/>
    </xf>
    <xf numFmtId="9" fontId="20" fillId="0" borderId="56" xfId="5" applyFont="1" applyBorder="1" applyAlignment="1">
      <alignment horizontal="center"/>
    </xf>
    <xf numFmtId="9" fontId="20" fillId="0" borderId="60" xfId="5" applyFont="1" applyBorder="1" applyAlignment="1">
      <alignment horizontal="center"/>
    </xf>
    <xf numFmtId="9" fontId="20" fillId="0" borderId="27" xfId="5" applyFont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0" fillId="0" borderId="1" xfId="0" applyNumberFormat="1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3" fontId="3" fillId="0" borderId="0" xfId="0" applyNumberFormat="1" applyFont="1" applyAlignment="1">
      <alignment horizontal="left"/>
    </xf>
    <xf numFmtId="43" fontId="0" fillId="0" borderId="0" xfId="0" applyNumberFormat="1" applyAlignment="1">
      <alignment horizontal="left"/>
    </xf>
    <xf numFmtId="43" fontId="2" fillId="0" borderId="0" xfId="0" applyNumberFormat="1" applyFont="1" applyAlignment="1">
      <alignment horizontal="left"/>
    </xf>
    <xf numFmtId="43" fontId="1" fillId="0" borderId="10" xfId="0" applyNumberFormat="1" applyFont="1" applyBorder="1" applyAlignment="1">
      <alignment horizontal="left"/>
    </xf>
    <xf numFmtId="43" fontId="1" fillId="0" borderId="11" xfId="0" applyNumberFormat="1" applyFont="1" applyBorder="1" applyAlignment="1">
      <alignment horizontal="left"/>
    </xf>
    <xf numFmtId="43" fontId="1" fillId="0" borderId="12" xfId="0" applyNumberFormat="1" applyFont="1" applyBorder="1" applyAlignment="1">
      <alignment horizontal="left"/>
    </xf>
    <xf numFmtId="43" fontId="1" fillId="0" borderId="23" xfId="0" applyNumberFormat="1" applyFont="1" applyBorder="1" applyAlignment="1">
      <alignment horizontal="left"/>
    </xf>
    <xf numFmtId="43" fontId="1" fillId="0" borderId="24" xfId="0" applyNumberFormat="1" applyFont="1" applyBorder="1" applyAlignment="1">
      <alignment horizontal="left"/>
    </xf>
    <xf numFmtId="43" fontId="1" fillId="0" borderId="20" xfId="0" applyNumberFormat="1" applyFont="1" applyBorder="1" applyAlignment="1">
      <alignment horizontal="left"/>
    </xf>
    <xf numFmtId="43" fontId="1" fillId="0" borderId="21" xfId="0" applyNumberFormat="1" applyFont="1" applyBorder="1" applyAlignment="1">
      <alignment horizontal="left"/>
    </xf>
    <xf numFmtId="43" fontId="1" fillId="0" borderId="17" xfId="0" applyNumberFormat="1" applyFont="1" applyBorder="1" applyAlignment="1">
      <alignment horizontal="left"/>
    </xf>
    <xf numFmtId="43" fontId="1" fillId="0" borderId="18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9" xfId="0" applyNumberFormat="1" applyFill="1" applyBorder="1" applyAlignment="1">
      <alignment horizontal="center"/>
    </xf>
    <xf numFmtId="0" fontId="4" fillId="0" borderId="0" xfId="6"/>
    <xf numFmtId="0" fontId="9" fillId="0" borderId="0" xfId="6" applyFont="1" applyBorder="1" applyAlignment="1">
      <alignment horizontal="center"/>
    </xf>
    <xf numFmtId="0" fontId="9" fillId="0" borderId="9" xfId="6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4" fillId="0" borderId="0" xfId="6" applyFont="1" applyBorder="1" applyAlignment="1">
      <alignment vertical="justify"/>
    </xf>
    <xf numFmtId="0" fontId="4" fillId="0" borderId="0" xfId="6" applyFont="1" applyBorder="1" applyAlignment="1">
      <alignment horizontal="right"/>
    </xf>
    <xf numFmtId="165" fontId="10" fillId="0" borderId="9" xfId="4" applyFont="1" applyBorder="1"/>
    <xf numFmtId="0" fontId="14" fillId="0" borderId="8" xfId="6" applyFont="1" applyBorder="1" applyAlignment="1">
      <alignment horizontal="center"/>
    </xf>
    <xf numFmtId="0" fontId="7" fillId="0" borderId="0" xfId="6" applyFont="1" applyBorder="1" applyAlignment="1">
      <alignment horizontal="left" vertical="justify"/>
    </xf>
    <xf numFmtId="0" fontId="14" fillId="0" borderId="0" xfId="6" applyFont="1" applyBorder="1" applyAlignment="1">
      <alignment horizontal="right"/>
    </xf>
    <xf numFmtId="17" fontId="19" fillId="0" borderId="0" xfId="6" applyNumberFormat="1" applyFont="1" applyBorder="1" applyAlignment="1">
      <alignment horizontal="center"/>
    </xf>
    <xf numFmtId="17" fontId="12" fillId="0" borderId="0" xfId="6" applyNumberFormat="1" applyFont="1" applyBorder="1" applyAlignment="1">
      <alignment horizontal="right"/>
    </xf>
    <xf numFmtId="0" fontId="20" fillId="0" borderId="0" xfId="6" applyFont="1" applyBorder="1" applyAlignment="1">
      <alignment horizontal="center"/>
    </xf>
    <xf numFmtId="0" fontId="14" fillId="0" borderId="0" xfId="6" applyFont="1" applyBorder="1" applyAlignment="1">
      <alignment horizontal="left"/>
    </xf>
    <xf numFmtId="0" fontId="11" fillId="0" borderId="39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1" fillId="0" borderId="47" xfId="6" applyFont="1" applyBorder="1" applyAlignment="1">
      <alignment vertical="center"/>
    </xf>
    <xf numFmtId="0" fontId="19" fillId="0" borderId="49" xfId="6" applyFont="1" applyBorder="1" applyAlignment="1">
      <alignment horizontal="center" vertical="center"/>
    </xf>
    <xf numFmtId="0" fontId="11" fillId="0" borderId="48" xfId="6" applyFont="1" applyBorder="1" applyAlignment="1">
      <alignment horizontal="center" vertical="center"/>
    </xf>
    <xf numFmtId="0" fontId="11" fillId="0" borderId="67" xfId="6" applyFont="1" applyBorder="1" applyAlignment="1">
      <alignment horizontal="center" vertical="center"/>
    </xf>
    <xf numFmtId="0" fontId="19" fillId="0" borderId="50" xfId="6" applyFont="1" applyBorder="1" applyAlignment="1">
      <alignment horizontal="center" vertical="center"/>
    </xf>
    <xf numFmtId="0" fontId="11" fillId="0" borderId="51" xfId="6" applyFont="1" applyBorder="1" applyAlignment="1">
      <alignment horizontal="center" vertical="center"/>
    </xf>
    <xf numFmtId="0" fontId="4" fillId="0" borderId="52" xfId="6" applyBorder="1" applyAlignment="1">
      <alignment horizontal="center" vertical="center"/>
    </xf>
    <xf numFmtId="0" fontId="4" fillId="0" borderId="53" xfId="6" applyBorder="1" applyAlignment="1">
      <alignment vertical="center"/>
    </xf>
    <xf numFmtId="43" fontId="4" fillId="0" borderId="53" xfId="6" applyNumberFormat="1" applyBorder="1" applyAlignment="1">
      <alignment vertical="center" wrapText="1"/>
    </xf>
    <xf numFmtId="4" fontId="4" fillId="0" borderId="54" xfId="6" applyNumberFormat="1" applyBorder="1" applyAlignment="1">
      <alignment horizontal="right"/>
    </xf>
    <xf numFmtId="4" fontId="4" fillId="0" borderId="68" xfId="6" applyNumberFormat="1" applyBorder="1" applyAlignment="1">
      <alignment horizontal="right"/>
    </xf>
    <xf numFmtId="4" fontId="4" fillId="0" borderId="57" xfId="6" applyNumberFormat="1" applyBorder="1" applyAlignment="1">
      <alignment horizontal="right"/>
    </xf>
    <xf numFmtId="0" fontId="4" fillId="0" borderId="0" xfId="6" applyAlignment="1">
      <alignment vertical="center"/>
    </xf>
    <xf numFmtId="0" fontId="4" fillId="0" borderId="58" xfId="6" applyBorder="1" applyAlignment="1">
      <alignment horizontal="center" vertical="center"/>
    </xf>
    <xf numFmtId="0" fontId="4" fillId="0" borderId="28" xfId="6" applyBorder="1" applyAlignment="1">
      <alignment vertical="center"/>
    </xf>
    <xf numFmtId="4" fontId="4" fillId="0" borderId="59" xfId="6" applyNumberFormat="1" applyBorder="1" applyAlignment="1">
      <alignment horizontal="right"/>
    </xf>
    <xf numFmtId="4" fontId="4" fillId="0" borderId="69" xfId="6" applyNumberFormat="1" applyBorder="1" applyAlignment="1">
      <alignment horizontal="right"/>
    </xf>
    <xf numFmtId="4" fontId="4" fillId="0" borderId="61" xfId="6" applyNumberFormat="1" applyBorder="1" applyAlignment="1">
      <alignment horizontal="right"/>
    </xf>
    <xf numFmtId="4" fontId="12" fillId="0" borderId="63" xfId="6" applyNumberFormat="1" applyFont="1" applyBorder="1" applyAlignment="1">
      <alignment horizontal="right" vertical="center"/>
    </xf>
    <xf numFmtId="166" fontId="15" fillId="0" borderId="64" xfId="6" applyNumberFormat="1" applyFont="1" applyBorder="1" applyAlignment="1">
      <alignment horizontal="center" vertical="center"/>
    </xf>
    <xf numFmtId="4" fontId="12" fillId="0" borderId="63" xfId="6" applyNumberFormat="1" applyFont="1" applyBorder="1" applyAlignment="1">
      <alignment vertical="center"/>
    </xf>
    <xf numFmtId="166" fontId="15" fillId="0" borderId="65" xfId="6" applyNumberFormat="1" applyFont="1" applyBorder="1" applyAlignment="1">
      <alignment horizontal="center" vertical="center"/>
    </xf>
    <xf numFmtId="166" fontId="15" fillId="0" borderId="11" xfId="6" applyNumberFormat="1" applyFont="1" applyBorder="1" applyAlignment="1">
      <alignment horizontal="center" vertical="center"/>
    </xf>
    <xf numFmtId="0" fontId="12" fillId="0" borderId="0" xfId="6" applyFont="1" applyAlignment="1">
      <alignment vertical="center"/>
    </xf>
    <xf numFmtId="4" fontId="12" fillId="0" borderId="66" xfId="6" applyNumberFormat="1" applyFont="1" applyBorder="1" applyAlignment="1">
      <alignment vertical="center"/>
    </xf>
    <xf numFmtId="9" fontId="15" fillId="0" borderId="11" xfId="6" applyNumberFormat="1" applyFont="1" applyBorder="1" applyAlignment="1">
      <alignment horizontal="left" vertical="center"/>
    </xf>
    <xf numFmtId="0" fontId="4" fillId="0" borderId="0" xfId="6" applyAlignment="1">
      <alignment horizontal="center"/>
    </xf>
    <xf numFmtId="0" fontId="4" fillId="0" borderId="0" xfId="6" applyAlignment="1">
      <alignment horizontal="right"/>
    </xf>
    <xf numFmtId="0" fontId="20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2" fontId="4" fillId="0" borderId="0" xfId="6" applyNumberFormat="1"/>
    <xf numFmtId="0" fontId="9" fillId="0" borderId="0" xfId="6" applyFont="1" applyBorder="1" applyAlignment="1">
      <alignment horizontal="left"/>
    </xf>
    <xf numFmtId="0" fontId="9" fillId="0" borderId="0" xfId="6" applyFont="1" applyBorder="1" applyAlignment="1"/>
    <xf numFmtId="0" fontId="8" fillId="0" borderId="0" xfId="7" applyBorder="1" applyAlignment="1"/>
    <xf numFmtId="9" fontId="15" fillId="0" borderId="65" xfId="6" applyNumberFormat="1" applyFont="1" applyBorder="1" applyAlignment="1">
      <alignment horizontal="center" vertical="center"/>
    </xf>
    <xf numFmtId="4" fontId="12" fillId="0" borderId="81" xfId="6" applyNumberFormat="1" applyFont="1" applyBorder="1" applyAlignment="1">
      <alignment vertical="center"/>
    </xf>
    <xf numFmtId="43" fontId="1" fillId="0" borderId="13" xfId="0" applyNumberFormat="1" applyFont="1" applyFill="1" applyBorder="1" applyAlignment="1">
      <alignment horizontal="left"/>
    </xf>
    <xf numFmtId="43" fontId="1" fillId="0" borderId="14" xfId="0" applyNumberFormat="1" applyFont="1" applyFill="1" applyBorder="1" applyAlignment="1">
      <alignment horizontal="left"/>
    </xf>
    <xf numFmtId="43" fontId="1" fillId="0" borderId="15" xfId="0" applyNumberFormat="1" applyFont="1" applyFill="1" applyBorder="1" applyAlignment="1">
      <alignment horizontal="left"/>
    </xf>
    <xf numFmtId="43" fontId="0" fillId="0" borderId="13" xfId="0" applyNumberFormat="1" applyFill="1" applyBorder="1"/>
    <xf numFmtId="43" fontId="0" fillId="0" borderId="14" xfId="0" applyNumberFormat="1" applyFill="1" applyBorder="1"/>
    <xf numFmtId="43" fontId="0" fillId="0" borderId="15" xfId="0" applyNumberFormat="1" applyFill="1" applyBorder="1"/>
    <xf numFmtId="43" fontId="0" fillId="0" borderId="8" xfId="0" applyNumberFormat="1" applyFill="1" applyBorder="1"/>
    <xf numFmtId="43" fontId="0" fillId="0" borderId="0" xfId="0" applyNumberFormat="1" applyFill="1" applyBorder="1"/>
    <xf numFmtId="43" fontId="0" fillId="0" borderId="9" xfId="0" applyNumberFormat="1" applyFill="1" applyBorder="1"/>
    <xf numFmtId="43" fontId="0" fillId="0" borderId="16" xfId="0" applyNumberFormat="1" applyFill="1" applyBorder="1"/>
    <xf numFmtId="43" fontId="0" fillId="0" borderId="17" xfId="0" applyNumberFormat="1" applyFill="1" applyBorder="1"/>
    <xf numFmtId="43" fontId="0" fillId="0" borderId="18" xfId="0" applyNumberFormat="1" applyFill="1" applyBorder="1"/>
    <xf numFmtId="43" fontId="0" fillId="0" borderId="22" xfId="0" applyNumberFormat="1" applyFill="1" applyBorder="1"/>
    <xf numFmtId="43" fontId="0" fillId="0" borderId="23" xfId="0" applyNumberFormat="1" applyFill="1" applyBorder="1"/>
    <xf numFmtId="43" fontId="0" fillId="0" borderId="24" xfId="0" applyNumberFormat="1" applyFill="1" applyBorder="1"/>
    <xf numFmtId="43" fontId="0" fillId="0" borderId="19" xfId="0" applyNumberFormat="1" applyFill="1" applyBorder="1"/>
    <xf numFmtId="43" fontId="0" fillId="0" borderId="20" xfId="0" applyNumberFormat="1" applyFill="1" applyBorder="1"/>
    <xf numFmtId="43" fontId="0" fillId="0" borderId="21" xfId="0" applyNumberFormat="1" applyFill="1" applyBorder="1"/>
    <xf numFmtId="43" fontId="1" fillId="0" borderId="22" xfId="0" applyNumberFormat="1" applyFont="1" applyFill="1" applyBorder="1"/>
    <xf numFmtId="43" fontId="1" fillId="0" borderId="23" xfId="0" applyNumberFormat="1" applyFont="1" applyFill="1" applyBorder="1"/>
    <xf numFmtId="43" fontId="1" fillId="0" borderId="24" xfId="0" applyNumberFormat="1" applyFont="1" applyFill="1" applyBorder="1"/>
    <xf numFmtId="43" fontId="22" fillId="0" borderId="0" xfId="0" applyNumberFormat="1" applyFont="1" applyFill="1" applyBorder="1"/>
    <xf numFmtId="43" fontId="5" fillId="0" borderId="35" xfId="0" applyNumberFormat="1" applyFont="1" applyFill="1" applyBorder="1"/>
    <xf numFmtId="43" fontId="0" fillId="0" borderId="36" xfId="0" applyNumberFormat="1" applyFill="1" applyBorder="1"/>
    <xf numFmtId="43" fontId="0" fillId="0" borderId="37" xfId="0" applyNumberFormat="1" applyFill="1" applyBorder="1"/>
    <xf numFmtId="43" fontId="24" fillId="0" borderId="8" xfId="0" applyNumberFormat="1" applyFont="1" applyFill="1" applyBorder="1"/>
    <xf numFmtId="43" fontId="0" fillId="0" borderId="78" xfId="0" applyNumberFormat="1" applyFill="1" applyBorder="1" applyAlignment="1">
      <alignment horizontal="left" vertical="top"/>
    </xf>
    <xf numFmtId="43" fontId="0" fillId="0" borderId="79" xfId="0" applyNumberFormat="1" applyFill="1" applyBorder="1" applyAlignment="1">
      <alignment horizontal="left" vertical="top"/>
    </xf>
    <xf numFmtId="43" fontId="24" fillId="0" borderId="78" xfId="0" applyNumberFormat="1" applyFont="1" applyFill="1" applyBorder="1"/>
    <xf numFmtId="43" fontId="0" fillId="0" borderId="79" xfId="0" applyNumberFormat="1" applyFill="1" applyBorder="1"/>
    <xf numFmtId="43" fontId="0" fillId="0" borderId="80" xfId="0" applyNumberFormat="1" applyFill="1" applyBorder="1"/>
    <xf numFmtId="43" fontId="0" fillId="0" borderId="75" xfId="0" applyNumberFormat="1" applyFill="1" applyBorder="1"/>
    <xf numFmtId="43" fontId="0" fillId="0" borderId="74" xfId="0" applyNumberForma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43" fontId="0" fillId="0" borderId="9" xfId="0" applyNumberFormat="1" applyFill="1" applyBorder="1" applyAlignment="1">
      <alignment horizontal="left" vertical="top"/>
    </xf>
    <xf numFmtId="43" fontId="24" fillId="0" borderId="16" xfId="0" applyNumberFormat="1" applyFont="1" applyFill="1" applyBorder="1"/>
    <xf numFmtId="43" fontId="0" fillId="0" borderId="73" xfId="0" applyNumberFormat="1" applyFill="1" applyBorder="1"/>
    <xf numFmtId="43" fontId="24" fillId="0" borderId="22" xfId="0" applyNumberFormat="1" applyFont="1" applyFill="1" applyBorder="1"/>
    <xf numFmtId="43" fontId="0" fillId="0" borderId="23" xfId="0" applyNumberFormat="1" applyFont="1" applyFill="1" applyBorder="1"/>
    <xf numFmtId="43" fontId="0" fillId="0" borderId="76" xfId="0" applyNumberFormat="1" applyFont="1" applyFill="1" applyBorder="1"/>
    <xf numFmtId="43" fontId="0" fillId="0" borderId="72" xfId="0" applyNumberFormat="1" applyFill="1" applyBorder="1" applyAlignment="1">
      <alignment horizontal="left" vertical="top"/>
    </xf>
    <xf numFmtId="43" fontId="0" fillId="0" borderId="17" xfId="0" applyNumberFormat="1" applyFill="1" applyBorder="1" applyAlignment="1">
      <alignment horizontal="left" vertical="top"/>
    </xf>
    <xf numFmtId="43" fontId="0" fillId="0" borderId="18" xfId="0" applyNumberFormat="1" applyFill="1" applyBorder="1" applyAlignment="1">
      <alignment horizontal="left" vertical="top"/>
    </xf>
    <xf numFmtId="43" fontId="25" fillId="0" borderId="16" xfId="0" applyNumberFormat="1" applyFont="1" applyFill="1" applyBorder="1"/>
    <xf numFmtId="43" fontId="1" fillId="0" borderId="17" xfId="0" applyNumberFormat="1" applyFont="1" applyFill="1" applyBorder="1"/>
    <xf numFmtId="43" fontId="1" fillId="0" borderId="73" xfId="0" applyNumberFormat="1" applyFont="1" applyFill="1" applyBorder="1"/>
    <xf numFmtId="43" fontId="0" fillId="0" borderId="70" xfId="0" applyNumberFormat="1" applyFill="1" applyBorder="1" applyAlignment="1">
      <alignment horizontal="left" vertical="top"/>
    </xf>
    <xf numFmtId="43" fontId="0" fillId="0" borderId="20" xfId="0" applyNumberFormat="1" applyFill="1" applyBorder="1" applyAlignment="1">
      <alignment horizontal="left" vertical="top"/>
    </xf>
    <xf numFmtId="43" fontId="0" fillId="0" borderId="21" xfId="0" applyNumberFormat="1" applyFill="1" applyBorder="1" applyAlignment="1">
      <alignment horizontal="left" vertical="top"/>
    </xf>
    <xf numFmtId="43" fontId="24" fillId="0" borderId="19" xfId="0" applyNumberFormat="1" applyFont="1" applyFill="1" applyBorder="1"/>
    <xf numFmtId="43" fontId="0" fillId="0" borderId="20" xfId="0" applyNumberFormat="1" applyFont="1" applyFill="1" applyBorder="1"/>
    <xf numFmtId="0" fontId="0" fillId="0" borderId="20" xfId="0" applyFont="1" applyFill="1" applyBorder="1"/>
    <xf numFmtId="43" fontId="0" fillId="0" borderId="71" xfId="0" applyNumberFormat="1" applyFont="1" applyFill="1" applyBorder="1"/>
    <xf numFmtId="43" fontId="0" fillId="0" borderId="0" xfId="0" applyNumberFormat="1" applyFont="1" applyFill="1" applyBorder="1"/>
    <xf numFmtId="43" fontId="0" fillId="0" borderId="75" xfId="0" applyNumberFormat="1" applyFont="1" applyFill="1" applyBorder="1"/>
    <xf numFmtId="43" fontId="25" fillId="0" borderId="77" xfId="0" applyNumberFormat="1" applyFont="1" applyFill="1" applyBorder="1"/>
    <xf numFmtId="43" fontId="1" fillId="0" borderId="76" xfId="0" applyNumberFormat="1" applyFont="1" applyFill="1" applyBorder="1"/>
    <xf numFmtId="43" fontId="0" fillId="0" borderId="77" xfId="0" applyNumberFormat="1" applyFill="1" applyBorder="1" applyAlignment="1">
      <alignment horizontal="left" vertical="top"/>
    </xf>
    <xf numFmtId="43" fontId="0" fillId="0" borderId="23" xfId="0" applyNumberFormat="1" applyFill="1" applyBorder="1" applyAlignment="1">
      <alignment horizontal="left" vertical="top"/>
    </xf>
    <xf numFmtId="43" fontId="0" fillId="0" borderId="24" xfId="0" applyNumberFormat="1" applyFill="1" applyBorder="1" applyAlignment="1">
      <alignment horizontal="left" vertical="top"/>
    </xf>
    <xf numFmtId="43" fontId="25" fillId="0" borderId="22" xfId="0" applyNumberFormat="1" applyFont="1" applyFill="1" applyBorder="1"/>
    <xf numFmtId="43" fontId="0" fillId="0" borderId="71" xfId="0" applyNumberFormat="1" applyFill="1" applyBorder="1"/>
    <xf numFmtId="10" fontId="0" fillId="0" borderId="0" xfId="0" applyNumberFormat="1" applyFill="1" applyBorder="1"/>
    <xf numFmtId="43" fontId="24" fillId="0" borderId="70" xfId="0" applyNumberFormat="1" applyFont="1" applyFill="1" applyBorder="1"/>
    <xf numFmtId="43" fontId="24" fillId="0" borderId="72" xfId="0" applyNumberFormat="1" applyFont="1" applyFill="1" applyBorder="1"/>
    <xf numFmtId="10" fontId="0" fillId="0" borderId="17" xfId="0" applyNumberFormat="1" applyFill="1" applyBorder="1"/>
    <xf numFmtId="43" fontId="0" fillId="0" borderId="8" xfId="0" applyNumberFormat="1" applyFill="1" applyBorder="1" applyAlignment="1">
      <alignment horizontal="left" vertical="top"/>
    </xf>
    <xf numFmtId="43" fontId="25" fillId="0" borderId="8" xfId="0" applyNumberFormat="1" applyFont="1" applyFill="1" applyBorder="1"/>
    <xf numFmtId="43" fontId="1" fillId="0" borderId="0" xfId="0" applyNumberFormat="1" applyFont="1" applyFill="1" applyBorder="1"/>
    <xf numFmtId="43" fontId="1" fillId="0" borderId="9" xfId="0" applyNumberFormat="1" applyFont="1" applyFill="1" applyBorder="1"/>
    <xf numFmtId="43" fontId="25" fillId="0" borderId="0" xfId="0" applyNumberFormat="1" applyFont="1" applyFill="1" applyBorder="1"/>
    <xf numFmtId="0" fontId="0" fillId="0" borderId="0" xfId="0" applyFill="1" applyBorder="1"/>
    <xf numFmtId="9" fontId="0" fillId="0" borderId="0" xfId="0" applyNumberFormat="1" applyFill="1" applyBorder="1"/>
    <xf numFmtId="9" fontId="0" fillId="0" borderId="17" xfId="0" applyNumberFormat="1" applyFill="1" applyBorder="1"/>
    <xf numFmtId="43" fontId="1" fillId="0" borderId="8" xfId="0" applyNumberFormat="1" applyFont="1" applyFill="1" applyBorder="1"/>
    <xf numFmtId="43" fontId="1" fillId="0" borderId="36" xfId="0" applyNumberFormat="1" applyFont="1" applyFill="1" applyBorder="1"/>
    <xf numFmtId="43" fontId="0" fillId="0" borderId="10" xfId="0" applyNumberFormat="1" applyFill="1" applyBorder="1"/>
    <xf numFmtId="43" fontId="0" fillId="0" borderId="11" xfId="0" applyNumberFormat="1" applyFill="1" applyBorder="1"/>
    <xf numFmtId="43" fontId="0" fillId="0" borderId="12" xfId="0" applyNumberFormat="1" applyFill="1" applyBorder="1"/>
    <xf numFmtId="43" fontId="1" fillId="0" borderId="16" xfId="0" applyNumberFormat="1" applyFont="1" applyFill="1" applyBorder="1"/>
    <xf numFmtId="43" fontId="1" fillId="0" borderId="18" xfId="0" applyNumberFormat="1" applyFont="1" applyFill="1" applyBorder="1"/>
    <xf numFmtId="43" fontId="0" fillId="0" borderId="0" xfId="0" applyNumberFormat="1" applyFill="1"/>
    <xf numFmtId="43" fontId="0" fillId="0" borderId="8" xfId="0" applyNumberFormat="1" applyFill="1" applyBorder="1" applyAlignment="1">
      <alignment horizontal="center"/>
    </xf>
    <xf numFmtId="43" fontId="0" fillId="0" borderId="0" xfId="0" applyNumberFormat="1" applyFill="1" applyBorder="1" applyAlignment="1">
      <alignment horizontal="center"/>
    </xf>
    <xf numFmtId="43" fontId="0" fillId="0" borderId="35" xfId="0" applyNumberFormat="1" applyFill="1" applyBorder="1"/>
    <xf numFmtId="43" fontId="0" fillId="0" borderId="8" xfId="0" applyNumberFormat="1" applyFill="1" applyBorder="1" applyAlignment="1">
      <alignment horizontal="left"/>
    </xf>
    <xf numFmtId="43" fontId="0" fillId="0" borderId="0" xfId="0" applyNumberFormat="1" applyFill="1" applyBorder="1" applyAlignment="1">
      <alignment horizontal="left"/>
    </xf>
    <xf numFmtId="43" fontId="0" fillId="0" borderId="78" xfId="0" applyNumberFormat="1" applyFill="1" applyBorder="1" applyAlignment="1">
      <alignment horizontal="center"/>
    </xf>
    <xf numFmtId="43" fontId="0" fillId="0" borderId="79" xfId="0" applyNumberFormat="1" applyFill="1" applyBorder="1" applyAlignment="1">
      <alignment horizontal="center"/>
    </xf>
    <xf numFmtId="43" fontId="0" fillId="0" borderId="78" xfId="0" applyNumberFormat="1" applyFill="1" applyBorder="1"/>
    <xf numFmtId="43" fontId="0" fillId="0" borderId="9" xfId="0" applyNumberFormat="1" applyFill="1" applyBorder="1" applyAlignment="1">
      <alignment horizontal="left"/>
    </xf>
    <xf numFmtId="43" fontId="0" fillId="0" borderId="19" xfId="0" applyNumberFormat="1" applyFill="1" applyBorder="1" applyAlignment="1">
      <alignment horizontal="left"/>
    </xf>
    <xf numFmtId="43" fontId="0" fillId="0" borderId="20" xfId="0" applyNumberFormat="1" applyFill="1" applyBorder="1" applyAlignment="1">
      <alignment horizontal="left"/>
    </xf>
    <xf numFmtId="43" fontId="0" fillId="0" borderId="21" xfId="0" applyNumberFormat="1" applyFill="1" applyBorder="1" applyAlignment="1">
      <alignment horizontal="left"/>
    </xf>
    <xf numFmtId="43" fontId="1" fillId="0" borderId="22" xfId="0" applyNumberFormat="1" applyFont="1" applyFill="1" applyBorder="1" applyAlignment="1">
      <alignment horizontal="left"/>
    </xf>
    <xf numFmtId="43" fontId="1" fillId="0" borderId="23" xfId="0" applyNumberFormat="1" applyFont="1" applyFill="1" applyBorder="1" applyAlignment="1">
      <alignment horizontal="left"/>
    </xf>
    <xf numFmtId="43" fontId="1" fillId="0" borderId="24" xfId="0" applyNumberFormat="1" applyFont="1" applyFill="1" applyBorder="1" applyAlignment="1">
      <alignment horizontal="left"/>
    </xf>
    <xf numFmtId="43" fontId="0" fillId="0" borderId="35" xfId="0" applyNumberFormat="1" applyFill="1" applyBorder="1" applyAlignment="1">
      <alignment horizontal="left"/>
    </xf>
    <xf numFmtId="43" fontId="0" fillId="0" borderId="36" xfId="0" applyNumberFormat="1" applyFill="1" applyBorder="1" applyAlignment="1">
      <alignment horizontal="left"/>
    </xf>
    <xf numFmtId="43" fontId="0" fillId="0" borderId="35" xfId="0" applyNumberFormat="1" applyFont="1" applyFill="1" applyBorder="1"/>
    <xf numFmtId="43" fontId="1" fillId="0" borderId="37" xfId="0" applyNumberFormat="1" applyFont="1" applyFill="1" applyBorder="1"/>
    <xf numFmtId="43" fontId="1" fillId="0" borderId="78" xfId="0" applyNumberFormat="1" applyFont="1" applyFill="1" applyBorder="1"/>
    <xf numFmtId="43" fontId="0" fillId="0" borderId="79" xfId="0" applyNumberFormat="1" applyFont="1" applyFill="1" applyBorder="1"/>
    <xf numFmtId="43" fontId="1" fillId="0" borderId="79" xfId="0" applyNumberFormat="1" applyFont="1" applyFill="1" applyBorder="1"/>
    <xf numFmtId="43" fontId="1" fillId="0" borderId="80" xfId="0" applyNumberFormat="1" applyFont="1" applyFill="1" applyBorder="1"/>
    <xf numFmtId="43" fontId="0" fillId="0" borderId="37" xfId="0" applyNumberFormat="1" applyFill="1" applyBorder="1" applyAlignment="1">
      <alignment horizontal="left"/>
    </xf>
    <xf numFmtId="43" fontId="0" fillId="0" borderId="78" xfId="0" applyNumberFormat="1" applyFill="1" applyBorder="1" applyAlignment="1">
      <alignment horizontal="left"/>
    </xf>
    <xf numFmtId="43" fontId="0" fillId="0" borderId="79" xfId="0" applyNumberFormat="1" applyFill="1" applyBorder="1" applyAlignment="1">
      <alignment horizontal="left"/>
    </xf>
    <xf numFmtId="43" fontId="0" fillId="0" borderId="80" xfId="0" applyNumberFormat="1" applyFill="1" applyBorder="1" applyAlignment="1">
      <alignment horizontal="left"/>
    </xf>
    <xf numFmtId="43" fontId="0" fillId="0" borderId="10" xfId="0" applyNumberFormat="1" applyFill="1" applyBorder="1" applyAlignment="1">
      <alignment horizontal="left"/>
    </xf>
    <xf numFmtId="43" fontId="0" fillId="0" borderId="11" xfId="0" applyNumberFormat="1" applyFill="1" applyBorder="1" applyAlignment="1">
      <alignment horizontal="left"/>
    </xf>
    <xf numFmtId="43" fontId="0" fillId="0" borderId="12" xfId="0" applyNumberFormat="1" applyFill="1" applyBorder="1" applyAlignment="1">
      <alignment horizontal="left"/>
    </xf>
    <xf numFmtId="43" fontId="1" fillId="0" borderId="11" xfId="0" applyNumberFormat="1" applyFont="1" applyFill="1" applyBorder="1"/>
    <xf numFmtId="43" fontId="0" fillId="0" borderId="16" xfId="0" applyNumberFormat="1" applyFill="1" applyBorder="1" applyAlignment="1">
      <alignment horizontal="left"/>
    </xf>
    <xf numFmtId="43" fontId="0" fillId="0" borderId="17" xfId="0" applyNumberFormat="1" applyFill="1" applyBorder="1" applyAlignment="1">
      <alignment horizontal="left"/>
    </xf>
    <xf numFmtId="43" fontId="0" fillId="0" borderId="18" xfId="0" applyNumberFormat="1" applyFill="1" applyBorder="1" applyAlignment="1">
      <alignment horizontal="left"/>
    </xf>
    <xf numFmtId="43" fontId="1" fillId="0" borderId="20" xfId="0" applyNumberFormat="1" applyFont="1" applyFill="1" applyBorder="1" applyAlignment="1">
      <alignment horizontal="left"/>
    </xf>
    <xf numFmtId="43" fontId="1" fillId="0" borderId="21" xfId="0" applyNumberFormat="1" applyFont="1" applyFill="1" applyBorder="1" applyAlignment="1">
      <alignment horizontal="left"/>
    </xf>
    <xf numFmtId="43" fontId="1" fillId="0" borderId="19" xfId="0" applyNumberFormat="1" applyFont="1" applyFill="1" applyBorder="1"/>
    <xf numFmtId="43" fontId="1" fillId="0" borderId="20" xfId="0" applyNumberFormat="1" applyFont="1" applyFill="1" applyBorder="1"/>
    <xf numFmtId="43" fontId="1" fillId="0" borderId="21" xfId="0" applyNumberFormat="1" applyFont="1" applyFill="1" applyBorder="1"/>
    <xf numFmtId="43" fontId="0" fillId="0" borderId="35" xfId="0" applyNumberFormat="1" applyFont="1" applyFill="1" applyBorder="1" applyAlignment="1">
      <alignment horizontal="left"/>
    </xf>
    <xf numFmtId="43" fontId="0" fillId="0" borderId="36" xfId="0" applyNumberFormat="1" applyFont="1" applyFill="1" applyBorder="1" applyAlignment="1">
      <alignment horizontal="left"/>
    </xf>
    <xf numFmtId="43" fontId="0" fillId="0" borderId="36" xfId="0" applyNumberFormat="1" applyFont="1" applyFill="1" applyBorder="1"/>
    <xf numFmtId="43" fontId="0" fillId="0" borderId="37" xfId="0" applyNumberFormat="1" applyFont="1" applyFill="1" applyBorder="1"/>
    <xf numFmtId="0" fontId="0" fillId="0" borderId="0" xfId="0" applyFont="1" applyFill="1"/>
    <xf numFmtId="43" fontId="1" fillId="0" borderId="8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>
      <alignment horizontal="left"/>
    </xf>
    <xf numFmtId="43" fontId="0" fillId="0" borderId="8" xfId="0" applyNumberFormat="1" applyFont="1" applyFill="1" applyBorder="1"/>
    <xf numFmtId="43" fontId="0" fillId="0" borderId="9" xfId="0" applyNumberFormat="1" applyFont="1" applyFill="1" applyBorder="1"/>
    <xf numFmtId="43" fontId="1" fillId="0" borderId="78" xfId="0" applyNumberFormat="1" applyFont="1" applyFill="1" applyBorder="1" applyAlignment="1">
      <alignment horizontal="left"/>
    </xf>
    <xf numFmtId="43" fontId="1" fillId="0" borderId="79" xfId="0" applyNumberFormat="1" applyFont="1" applyFill="1" applyBorder="1" applyAlignment="1">
      <alignment horizontal="left"/>
    </xf>
    <xf numFmtId="43" fontId="1" fillId="0" borderId="36" xfId="0" applyNumberFormat="1" applyFont="1" applyFill="1" applyBorder="1" applyAlignment="1">
      <alignment horizontal="left"/>
    </xf>
    <xf numFmtId="43" fontId="0" fillId="0" borderId="78" xfId="0" applyNumberFormat="1" applyFont="1" applyFill="1" applyBorder="1"/>
    <xf numFmtId="43" fontId="0" fillId="0" borderId="22" xfId="0" applyNumberFormat="1" applyFont="1" applyFill="1" applyBorder="1" applyAlignment="1">
      <alignment horizontal="left"/>
    </xf>
    <xf numFmtId="43" fontId="0" fillId="0" borderId="19" xfId="0" applyNumberFormat="1" applyFont="1" applyFill="1" applyBorder="1" applyAlignment="1">
      <alignment horizontal="left"/>
    </xf>
    <xf numFmtId="43" fontId="0" fillId="0" borderId="19" xfId="0" applyNumberFormat="1" applyFont="1" applyBorder="1" applyAlignment="1">
      <alignment horizontal="left"/>
    </xf>
    <xf numFmtId="43" fontId="0" fillId="0" borderId="16" xfId="0" applyNumberFormat="1" applyFont="1" applyBorder="1" applyAlignment="1">
      <alignment horizontal="left"/>
    </xf>
    <xf numFmtId="43" fontId="0" fillId="0" borderId="22" xfId="0" applyNumberFormat="1" applyFont="1" applyBorder="1" applyAlignment="1">
      <alignment horizontal="left"/>
    </xf>
    <xf numFmtId="43" fontId="1" fillId="0" borderId="2" xfId="0" applyNumberFormat="1" applyFont="1" applyFill="1" applyBorder="1"/>
    <xf numFmtId="43" fontId="1" fillId="0" borderId="3" xfId="0" applyNumberFormat="1" applyFont="1" applyFill="1" applyBorder="1" applyAlignment="1">
      <alignment horizontal="center"/>
    </xf>
    <xf numFmtId="43" fontId="1" fillId="0" borderId="3" xfId="0" applyNumberFormat="1" applyFont="1" applyFill="1" applyBorder="1"/>
    <xf numFmtId="43" fontId="0" fillId="0" borderId="3" xfId="0" applyNumberFormat="1" applyFill="1" applyBorder="1"/>
    <xf numFmtId="43" fontId="0" fillId="0" borderId="3" xfId="0" applyNumberFormat="1" applyFill="1" applyBorder="1" applyAlignment="1">
      <alignment horizontal="center"/>
    </xf>
    <xf numFmtId="43" fontId="0" fillId="0" borderId="4" xfId="0" applyNumberFormat="1" applyFill="1" applyBorder="1" applyAlignment="1">
      <alignment horizontal="center"/>
    </xf>
    <xf numFmtId="43" fontId="0" fillId="0" borderId="5" xfId="0" applyNumberFormat="1" applyFill="1" applyBorder="1"/>
    <xf numFmtId="43" fontId="0" fillId="0" borderId="6" xfId="0" applyNumberFormat="1" applyFill="1" applyBorder="1" applyAlignment="1">
      <alignment horizontal="center"/>
    </xf>
    <xf numFmtId="43" fontId="0" fillId="0" borderId="6" xfId="0" applyNumberFormat="1" applyFill="1" applyBorder="1"/>
    <xf numFmtId="43" fontId="0" fillId="0" borderId="7" xfId="0" applyNumberFormat="1" applyFill="1" applyBorder="1" applyAlignment="1">
      <alignment horizontal="center"/>
    </xf>
    <xf numFmtId="43" fontId="1" fillId="0" borderId="6" xfId="0" applyNumberFormat="1" applyFont="1" applyFill="1" applyBorder="1"/>
    <xf numFmtId="10" fontId="1" fillId="0" borderId="7" xfId="0" applyNumberFormat="1" applyFont="1" applyFill="1" applyBorder="1" applyAlignment="1">
      <alignment horizontal="center"/>
    </xf>
    <xf numFmtId="43" fontId="1" fillId="0" borderId="7" xfId="0" applyNumberFormat="1" applyFont="1" applyFill="1" applyBorder="1" applyAlignment="1">
      <alignment horizontal="center"/>
    </xf>
    <xf numFmtId="43" fontId="0" fillId="0" borderId="6" xfId="0" applyNumberFormat="1" applyFont="1" applyFill="1" applyBorder="1"/>
    <xf numFmtId="0" fontId="0" fillId="0" borderId="6" xfId="0" applyNumberFormat="1" applyFill="1" applyBorder="1" applyAlignment="1">
      <alignment horizontal="center"/>
    </xf>
    <xf numFmtId="164" fontId="1" fillId="0" borderId="6" xfId="0" applyNumberFormat="1" applyFont="1" applyFill="1" applyBorder="1"/>
    <xf numFmtId="43" fontId="0" fillId="0" borderId="25" xfId="0" applyNumberFormat="1" applyFill="1" applyBorder="1"/>
    <xf numFmtId="43" fontId="0" fillId="0" borderId="26" xfId="0" applyNumberFormat="1" applyFill="1" applyBorder="1" applyAlignment="1">
      <alignment horizontal="center"/>
    </xf>
    <xf numFmtId="43" fontId="1" fillId="0" borderId="25" xfId="0" applyNumberFormat="1" applyFont="1" applyFill="1" applyBorder="1"/>
    <xf numFmtId="43" fontId="1" fillId="0" borderId="26" xfId="0" applyNumberFormat="1" applyFont="1" applyFill="1" applyBorder="1" applyAlignment="1">
      <alignment horizontal="center"/>
    </xf>
    <xf numFmtId="43" fontId="0" fillId="0" borderId="6" xfId="0" applyNumberFormat="1" applyFill="1" applyBorder="1" applyAlignment="1">
      <alignment horizontal="right"/>
    </xf>
    <xf numFmtId="43" fontId="0" fillId="0" borderId="25" xfId="0" applyNumberFormat="1" applyFill="1" applyBorder="1" applyAlignment="1">
      <alignment horizontal="right"/>
    </xf>
    <xf numFmtId="43" fontId="26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43" fontId="0" fillId="0" borderId="32" xfId="0" applyNumberFormat="1" applyFill="1" applyBorder="1"/>
    <xf numFmtId="43" fontId="0" fillId="0" borderId="33" xfId="0" applyNumberFormat="1" applyFill="1" applyBorder="1" applyAlignment="1">
      <alignment horizontal="center"/>
    </xf>
    <xf numFmtId="43" fontId="1" fillId="0" borderId="33" xfId="0" applyNumberFormat="1" applyFont="1" applyFill="1" applyBorder="1"/>
    <xf numFmtId="43" fontId="0" fillId="0" borderId="33" xfId="0" applyNumberFormat="1" applyFill="1" applyBorder="1"/>
    <xf numFmtId="9" fontId="1" fillId="0" borderId="34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43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43" fontId="0" fillId="0" borderId="0" xfId="0" applyNumberFormat="1" applyFill="1" applyAlignment="1">
      <alignment horizontal="center"/>
    </xf>
    <xf numFmtId="43" fontId="0" fillId="0" borderId="0" xfId="0" applyNumberFormat="1" applyFill="1" applyBorder="1" applyAlignment="1">
      <alignment horizontal="left"/>
    </xf>
    <xf numFmtId="43" fontId="0" fillId="0" borderId="0" xfId="0" applyNumberFormat="1" applyFill="1" applyBorder="1" applyAlignment="1">
      <alignment horizontal="left"/>
    </xf>
    <xf numFmtId="43" fontId="0" fillId="0" borderId="35" xfId="0" applyNumberFormat="1" applyFill="1" applyBorder="1" applyAlignment="1">
      <alignment horizontal="left"/>
    </xf>
    <xf numFmtId="43" fontId="0" fillId="0" borderId="36" xfId="0" applyNumberFormat="1" applyFill="1" applyBorder="1" applyAlignment="1">
      <alignment horizontal="left"/>
    </xf>
    <xf numFmtId="2" fontId="0" fillId="0" borderId="35" xfId="0" applyNumberFormat="1" applyFill="1" applyBorder="1"/>
    <xf numFmtId="43" fontId="1" fillId="0" borderId="10" xfId="0" applyNumberFormat="1" applyFont="1" applyFill="1" applyBorder="1"/>
    <xf numFmtId="43" fontId="1" fillId="0" borderId="12" xfId="0" applyNumberFormat="1" applyFont="1" applyFill="1" applyBorder="1"/>
    <xf numFmtId="43" fontId="0" fillId="0" borderId="6" xfId="0" applyNumberFormat="1" applyFont="1" applyFill="1" applyBorder="1" applyAlignment="1">
      <alignment horizontal="center"/>
    </xf>
    <xf numFmtId="43" fontId="23" fillId="0" borderId="6" xfId="0" applyNumberFormat="1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center"/>
    </xf>
    <xf numFmtId="43" fontId="0" fillId="0" borderId="25" xfId="0" applyNumberFormat="1" applyFont="1" applyFill="1" applyBorder="1"/>
    <xf numFmtId="0" fontId="28" fillId="0" borderId="0" xfId="0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Fill="1" applyBorder="1" applyAlignment="1">
      <alignment horizontal="left"/>
    </xf>
    <xf numFmtId="43" fontId="0" fillId="0" borderId="35" xfId="0" applyNumberFormat="1" applyFill="1" applyBorder="1" applyAlignment="1">
      <alignment horizontal="left"/>
    </xf>
    <xf numFmtId="43" fontId="0" fillId="0" borderId="36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center"/>
    </xf>
    <xf numFmtId="0" fontId="4" fillId="0" borderId="0" xfId="0" applyFont="1" applyAlignment="1">
      <alignment horizontal="left" indent="4"/>
    </xf>
    <xf numFmtId="43" fontId="0" fillId="0" borderId="0" xfId="0" applyNumberFormat="1" applyAlignment="1">
      <alignment horizontal="left" indent="4"/>
    </xf>
    <xf numFmtId="43" fontId="1" fillId="0" borderId="0" xfId="0" applyNumberFormat="1" applyFont="1"/>
    <xf numFmtId="43" fontId="0" fillId="0" borderId="0" xfId="0" applyNumberFormat="1" applyFill="1" applyAlignment="1"/>
    <xf numFmtId="0" fontId="0" fillId="0" borderId="0" xfId="0" applyFill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1" fillId="0" borderId="0" xfId="0" applyNumberFormat="1" applyFont="1" applyAlignment="1">
      <alignment horizontal="center"/>
    </xf>
    <xf numFmtId="43" fontId="4" fillId="0" borderId="0" xfId="2" applyFont="1" applyAlignment="1">
      <alignment horizontal="center"/>
    </xf>
    <xf numFmtId="0" fontId="12" fillId="0" borderId="10" xfId="6" applyFont="1" applyBorder="1" applyAlignment="1">
      <alignment horizontal="left" vertical="center" indent="1"/>
    </xf>
    <xf numFmtId="0" fontId="12" fillId="0" borderId="11" xfId="6" applyFont="1" applyBorder="1" applyAlignment="1">
      <alignment horizontal="left" vertical="center" indent="1"/>
    </xf>
    <xf numFmtId="0" fontId="12" fillId="0" borderId="62" xfId="6" applyFont="1" applyBorder="1" applyAlignment="1">
      <alignment horizontal="left" vertical="center" indent="1"/>
    </xf>
    <xf numFmtId="0" fontId="11" fillId="0" borderId="42" xfId="6" applyFont="1" applyBorder="1" applyAlignment="1">
      <alignment horizontal="center" vertical="center"/>
    </xf>
    <xf numFmtId="0" fontId="11" fillId="0" borderId="43" xfId="6" applyFont="1" applyBorder="1" applyAlignment="1">
      <alignment horizontal="center" vertical="center"/>
    </xf>
    <xf numFmtId="0" fontId="11" fillId="0" borderId="44" xfId="6" applyFont="1" applyBorder="1" applyAlignment="1">
      <alignment horizontal="center" vertical="center"/>
    </xf>
    <xf numFmtId="0" fontId="11" fillId="0" borderId="45" xfId="6" applyFont="1" applyBorder="1" applyAlignment="1">
      <alignment horizontal="center" vertical="center"/>
    </xf>
    <xf numFmtId="0" fontId="9" fillId="0" borderId="0" xfId="6" applyFont="1" applyBorder="1" applyAlignment="1">
      <alignment horizontal="center"/>
    </xf>
    <xf numFmtId="0" fontId="9" fillId="0" borderId="9" xfId="6" applyFont="1" applyBorder="1" applyAlignment="1">
      <alignment horizontal="center"/>
    </xf>
    <xf numFmtId="0" fontId="11" fillId="2" borderId="10" xfId="6" applyFont="1" applyFill="1" applyBorder="1" applyAlignment="1">
      <alignment horizontal="center"/>
    </xf>
    <xf numFmtId="0" fontId="11" fillId="2" borderId="11" xfId="6" applyFont="1" applyFill="1" applyBorder="1" applyAlignment="1">
      <alignment horizontal="center"/>
    </xf>
    <xf numFmtId="0" fontId="11" fillId="2" borderId="12" xfId="6" applyFont="1" applyFill="1" applyBorder="1" applyAlignment="1">
      <alignment horizontal="center"/>
    </xf>
    <xf numFmtId="0" fontId="11" fillId="0" borderId="38" xfId="6" applyFont="1" applyBorder="1" applyAlignment="1">
      <alignment horizontal="center" vertical="center"/>
    </xf>
    <xf numFmtId="0" fontId="11" fillId="0" borderId="46" xfId="6" applyFont="1" applyBorder="1" applyAlignment="1">
      <alignment horizontal="center" vertical="center"/>
    </xf>
    <xf numFmtId="0" fontId="11" fillId="0" borderId="40" xfId="6" applyFont="1" applyBorder="1" applyAlignment="1">
      <alignment horizontal="center" vertical="center"/>
    </xf>
    <xf numFmtId="0" fontId="11" fillId="0" borderId="47" xfId="6" applyFont="1" applyBorder="1" applyAlignment="1">
      <alignment horizontal="center" vertical="center"/>
    </xf>
    <xf numFmtId="4" fontId="11" fillId="0" borderId="41" xfId="6" applyNumberFormat="1" applyFont="1" applyBorder="1" applyAlignment="1">
      <alignment horizontal="center" vertical="center"/>
    </xf>
    <xf numFmtId="4" fontId="11" fillId="0" borderId="48" xfId="6" applyNumberFormat="1" applyFont="1" applyBorder="1" applyAlignment="1">
      <alignment horizontal="center" vertical="center"/>
    </xf>
    <xf numFmtId="43" fontId="25" fillId="0" borderId="8" xfId="0" applyNumberFormat="1" applyFont="1" applyFill="1" applyBorder="1" applyAlignment="1">
      <alignment horizontal="left" wrapText="1"/>
    </xf>
    <xf numFmtId="43" fontId="25" fillId="0" borderId="0" xfId="0" applyNumberFormat="1" applyFont="1" applyFill="1" applyBorder="1" applyAlignment="1">
      <alignment horizontal="left" wrapText="1"/>
    </xf>
    <xf numFmtId="43" fontId="25" fillId="0" borderId="9" xfId="0" applyNumberFormat="1" applyFont="1" applyFill="1" applyBorder="1" applyAlignment="1">
      <alignment horizontal="left" wrapText="1"/>
    </xf>
    <xf numFmtId="43" fontId="0" fillId="0" borderId="35" xfId="0" applyNumberFormat="1" applyFill="1" applyBorder="1" applyAlignment="1">
      <alignment horizontal="left" vertical="top"/>
    </xf>
    <xf numFmtId="0" fontId="0" fillId="0" borderId="36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78" xfId="0" applyFill="1" applyBorder="1" applyAlignment="1">
      <alignment horizontal="left" vertical="top"/>
    </xf>
    <xf numFmtId="0" fontId="0" fillId="0" borderId="79" xfId="0" applyFill="1" applyBorder="1" applyAlignment="1">
      <alignment horizontal="left" vertical="top"/>
    </xf>
    <xf numFmtId="0" fontId="0" fillId="0" borderId="80" xfId="0" applyFill="1" applyBorder="1" applyAlignment="1">
      <alignment horizontal="left" vertical="top"/>
    </xf>
    <xf numFmtId="43" fontId="0" fillId="0" borderId="22" xfId="0" applyNumberFormat="1" applyFill="1" applyBorder="1" applyAlignment="1">
      <alignment horizontal="left"/>
    </xf>
    <xf numFmtId="43" fontId="0" fillId="0" borderId="23" xfId="0" applyNumberFormat="1" applyFill="1" applyBorder="1" applyAlignment="1">
      <alignment horizontal="left"/>
    </xf>
    <xf numFmtId="43" fontId="0" fillId="0" borderId="24" xfId="0" applyNumberFormat="1" applyFill="1" applyBorder="1" applyAlignment="1">
      <alignment horizontal="left"/>
    </xf>
    <xf numFmtId="43" fontId="1" fillId="0" borderId="22" xfId="0" applyNumberFormat="1" applyFont="1" applyFill="1" applyBorder="1" applyAlignment="1">
      <alignment horizontal="left"/>
    </xf>
    <xf numFmtId="43" fontId="1" fillId="0" borderId="23" xfId="0" applyNumberFormat="1" applyFont="1" applyFill="1" applyBorder="1" applyAlignment="1">
      <alignment horizontal="left"/>
    </xf>
    <xf numFmtId="43" fontId="1" fillId="0" borderId="24" xfId="0" applyNumberFormat="1" applyFont="1" applyFill="1" applyBorder="1" applyAlignment="1">
      <alignment horizontal="left"/>
    </xf>
    <xf numFmtId="43" fontId="0" fillId="0" borderId="74" xfId="0" applyNumberForma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43" fontId="0" fillId="0" borderId="9" xfId="0" applyNumberFormat="1" applyFill="1" applyBorder="1" applyAlignment="1">
      <alignment horizontal="left" vertical="top"/>
    </xf>
    <xf numFmtId="43" fontId="0" fillId="0" borderId="19" xfId="0" applyNumberFormat="1" applyFill="1" applyBorder="1" applyAlignment="1">
      <alignment horizontal="left"/>
    </xf>
    <xf numFmtId="43" fontId="0" fillId="0" borderId="20" xfId="0" applyNumberFormat="1" applyFill="1" applyBorder="1" applyAlignment="1">
      <alignment horizontal="left"/>
    </xf>
    <xf numFmtId="43" fontId="0" fillId="0" borderId="21" xfId="0" applyNumberFormat="1" applyFill="1" applyBorder="1" applyAlignment="1">
      <alignment horizontal="left"/>
    </xf>
    <xf numFmtId="43" fontId="0" fillId="0" borderId="70" xfId="0" applyNumberFormat="1" applyFill="1" applyBorder="1" applyAlignment="1">
      <alignment horizontal="left" vertical="top"/>
    </xf>
    <xf numFmtId="43" fontId="0" fillId="0" borderId="20" xfId="0" applyNumberFormat="1" applyFill="1" applyBorder="1" applyAlignment="1">
      <alignment horizontal="left" vertical="top"/>
    </xf>
    <xf numFmtId="43" fontId="0" fillId="0" borderId="21" xfId="0" applyNumberFormat="1" applyFill="1" applyBorder="1" applyAlignment="1">
      <alignment horizontal="left" vertical="top"/>
    </xf>
    <xf numFmtId="43" fontId="0" fillId="0" borderId="19" xfId="0" applyNumberFormat="1" applyFill="1" applyBorder="1" applyAlignment="1">
      <alignment horizontal="left" vertical="top"/>
    </xf>
    <xf numFmtId="43" fontId="0" fillId="0" borderId="8" xfId="0" applyNumberFormat="1" applyFill="1" applyBorder="1" applyAlignment="1">
      <alignment horizontal="left" vertical="top"/>
    </xf>
    <xf numFmtId="43" fontId="0" fillId="0" borderId="36" xfId="0" applyNumberFormat="1" applyFill="1" applyBorder="1" applyAlignment="1">
      <alignment horizontal="left" vertical="top"/>
    </xf>
    <xf numFmtId="43" fontId="23" fillId="0" borderId="22" xfId="0" applyNumberFormat="1" applyFont="1" applyFill="1" applyBorder="1" applyAlignment="1">
      <alignment horizontal="center"/>
    </xf>
    <xf numFmtId="43" fontId="23" fillId="0" borderId="23" xfId="0" applyNumberFormat="1" applyFont="1" applyFill="1" applyBorder="1" applyAlignment="1">
      <alignment horizontal="center"/>
    </xf>
    <xf numFmtId="43" fontId="0" fillId="0" borderId="16" xfId="0" applyNumberFormat="1" applyFill="1" applyBorder="1" applyAlignment="1">
      <alignment horizontal="left"/>
    </xf>
    <xf numFmtId="43" fontId="0" fillId="0" borderId="17" xfId="0" applyNumberFormat="1" applyFill="1" applyBorder="1" applyAlignment="1">
      <alignment horizontal="left"/>
    </xf>
    <xf numFmtId="43" fontId="0" fillId="0" borderId="18" xfId="0" applyNumberFormat="1" applyFill="1" applyBorder="1" applyAlignment="1">
      <alignment horizontal="left"/>
    </xf>
    <xf numFmtId="0" fontId="0" fillId="0" borderId="0" xfId="0" applyFill="1" applyAlignment="1">
      <alignment horizontal="left" vertical="top"/>
    </xf>
    <xf numFmtId="43" fontId="0" fillId="0" borderId="0" xfId="0" applyNumberFormat="1" applyFill="1" applyBorder="1" applyAlignment="1">
      <alignment horizontal="left"/>
    </xf>
    <xf numFmtId="43" fontId="0" fillId="0" borderId="35" xfId="0" applyNumberFormat="1" applyFill="1" applyBorder="1" applyAlignment="1">
      <alignment horizontal="left"/>
    </xf>
    <xf numFmtId="43" fontId="0" fillId="0" borderId="36" xfId="0" applyNumberFormat="1" applyFill="1" applyBorder="1" applyAlignment="1">
      <alignment horizontal="left"/>
    </xf>
    <xf numFmtId="43" fontId="0" fillId="0" borderId="29" xfId="0" applyNumberFormat="1" applyFill="1" applyBorder="1" applyAlignment="1">
      <alignment horizontal="left"/>
    </xf>
    <xf numFmtId="43" fontId="0" fillId="0" borderId="30" xfId="0" applyNumberFormat="1" applyFill="1" applyBorder="1" applyAlignment="1">
      <alignment horizontal="left"/>
    </xf>
    <xf numFmtId="43" fontId="0" fillId="0" borderId="31" xfId="0" applyNumberFormat="1" applyFill="1" applyBorder="1" applyAlignment="1">
      <alignment horizontal="left"/>
    </xf>
    <xf numFmtId="43" fontId="0" fillId="0" borderId="10" xfId="0" applyNumberFormat="1" applyFill="1" applyBorder="1" applyAlignment="1">
      <alignment horizontal="left" vertical="top"/>
    </xf>
    <xf numFmtId="43" fontId="0" fillId="0" borderId="11" xfId="0" applyNumberFormat="1" applyFill="1" applyBorder="1" applyAlignment="1">
      <alignment horizontal="left" vertical="top"/>
    </xf>
    <xf numFmtId="43" fontId="0" fillId="0" borderId="12" xfId="0" applyNumberFormat="1" applyFill="1" applyBorder="1" applyAlignment="1">
      <alignment horizontal="left" vertical="top"/>
    </xf>
    <xf numFmtId="43" fontId="1" fillId="0" borderId="10" xfId="0" applyNumberFormat="1" applyFont="1" applyFill="1" applyBorder="1" applyAlignment="1">
      <alignment horizontal="left"/>
    </xf>
    <xf numFmtId="43" fontId="1" fillId="0" borderId="11" xfId="0" applyNumberFormat="1" applyFont="1" applyFill="1" applyBorder="1" applyAlignment="1">
      <alignment horizontal="left"/>
    </xf>
    <xf numFmtId="43" fontId="1" fillId="0" borderId="12" xfId="0" applyNumberFormat="1" applyFont="1" applyFill="1" applyBorder="1" applyAlignment="1">
      <alignment horizontal="left"/>
    </xf>
    <xf numFmtId="43" fontId="0" fillId="0" borderId="16" xfId="0" applyNumberFormat="1" applyFill="1" applyBorder="1" applyAlignment="1">
      <alignment horizontal="left" vertical="top"/>
    </xf>
    <xf numFmtId="43" fontId="0" fillId="0" borderId="17" xfId="0" applyNumberFormat="1" applyFill="1" applyBorder="1" applyAlignment="1">
      <alignment horizontal="left" vertical="top"/>
    </xf>
    <xf numFmtId="43" fontId="0" fillId="0" borderId="18" xfId="0" applyNumberFormat="1" applyFill="1" applyBorder="1" applyAlignment="1">
      <alignment horizontal="left" vertical="top"/>
    </xf>
    <xf numFmtId="43" fontId="0" fillId="0" borderId="16" xfId="0" applyNumberFormat="1" applyFill="1" applyBorder="1" applyAlignment="1">
      <alignment horizontal="center"/>
    </xf>
    <xf numFmtId="43" fontId="0" fillId="0" borderId="17" xfId="0" applyNumberFormat="1" applyFill="1" applyBorder="1" applyAlignment="1">
      <alignment horizontal="center"/>
    </xf>
    <xf numFmtId="43" fontId="0" fillId="0" borderId="18" xfId="0" applyNumberFormat="1" applyFill="1" applyBorder="1" applyAlignment="1">
      <alignment horizontal="center"/>
    </xf>
  </cellXfs>
  <cellStyles count="8">
    <cellStyle name="Normal" xfId="0" builtinId="0"/>
    <cellStyle name="Normal 2" xfId="1"/>
    <cellStyle name="Normal 2 2" xfId="7"/>
    <cellStyle name="Normal 3" xfId="3"/>
    <cellStyle name="Normal 3 2" xfId="6"/>
    <cellStyle name="Porcentagem 2" xfId="5"/>
    <cellStyle name="Vírgula" xfId="2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TOS\Arquivos\CORRE&#199;&#195;O\Bruna\OR&#199;AMENTO%20BADESC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ATIVO"/>
      <sheetName val="CRONOGRAMA"/>
    </sheetNames>
    <sheetDataSet>
      <sheetData sheetId="0" refreshError="1">
        <row r="8">
          <cell r="A8" t="str">
            <v>Item</v>
          </cell>
          <cell r="C8" t="str">
            <v xml:space="preserve">Discriminação </v>
          </cell>
        </row>
        <row r="9">
          <cell r="K9" t="str">
            <v>Total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2"/>
  <sheetViews>
    <sheetView showGridLines="0" tabSelected="1" workbookViewId="0">
      <pane ySplit="8" topLeftCell="A9" activePane="bottomLeft" state="frozen"/>
      <selection pane="bottomLeft" activeCell="K17" sqref="K17"/>
    </sheetView>
  </sheetViews>
  <sheetFormatPr defaultRowHeight="15" x14ac:dyDescent="0.25"/>
  <cols>
    <col min="1" max="1" width="9.28515625" customWidth="1"/>
    <col min="2" max="2" width="16.7109375" style="16" customWidth="1"/>
    <col min="3" max="3" width="40.7109375" customWidth="1"/>
    <col min="4" max="4" width="10.140625" customWidth="1"/>
    <col min="5" max="5" width="9.85546875" style="16" customWidth="1"/>
    <col min="6" max="6" width="12.7109375" customWidth="1"/>
    <col min="7" max="7" width="15.5703125" customWidth="1"/>
    <col min="8" max="8" width="10.7109375" style="16" customWidth="1"/>
    <col min="9" max="9" width="10.7109375" customWidth="1"/>
    <col min="10" max="10" width="10.5703125" bestFit="1" customWidth="1"/>
  </cols>
  <sheetData>
    <row r="1" spans="1:11" s="20" customFormat="1" ht="15.75" x14ac:dyDescent="0.25">
      <c r="A1" s="303" t="s">
        <v>806</v>
      </c>
      <c r="B1" s="303"/>
      <c r="C1" s="304"/>
      <c r="D1" s="304"/>
      <c r="E1" s="304"/>
      <c r="F1" s="304"/>
      <c r="G1" s="304"/>
      <c r="H1" s="304"/>
    </row>
    <row r="2" spans="1:11" s="20" customFormat="1" ht="15.75" x14ac:dyDescent="0.25">
      <c r="A2" s="51"/>
      <c r="B2" s="303" t="s">
        <v>0</v>
      </c>
      <c r="C2" s="308"/>
      <c r="D2" s="308"/>
      <c r="E2" s="308"/>
      <c r="F2" s="308"/>
      <c r="G2" s="308"/>
      <c r="H2" s="52"/>
    </row>
    <row r="3" spans="1:11" s="20" customFormat="1" ht="15.75" x14ac:dyDescent="0.25">
      <c r="A3" s="292"/>
      <c r="B3" s="292"/>
      <c r="C3" s="293"/>
      <c r="D3" s="293"/>
      <c r="E3" s="293"/>
      <c r="F3" s="293"/>
      <c r="G3" s="293"/>
      <c r="H3" s="291"/>
    </row>
    <row r="4" spans="1:11" s="20" customFormat="1" ht="15.75" x14ac:dyDescent="0.25">
      <c r="A4" s="51"/>
      <c r="B4" s="38" t="s">
        <v>1</v>
      </c>
      <c r="C4" s="52"/>
      <c r="D4" s="52"/>
      <c r="E4" s="52"/>
      <c r="F4" s="52"/>
      <c r="G4" s="52"/>
    </row>
    <row r="5" spans="1:11" s="20" customFormat="1" ht="15.75" x14ac:dyDescent="0.25">
      <c r="A5" s="51"/>
      <c r="B5" s="38" t="s">
        <v>840</v>
      </c>
      <c r="C5" s="52"/>
      <c r="D5" s="274"/>
      <c r="E5" s="52"/>
      <c r="F5" s="52"/>
      <c r="G5" s="52"/>
    </row>
    <row r="6" spans="1:11" s="20" customFormat="1" ht="17.25" thickBot="1" x14ac:dyDescent="0.35">
      <c r="A6" s="21"/>
      <c r="B6" s="38" t="s">
        <v>836</v>
      </c>
      <c r="C6" s="38"/>
      <c r="D6" s="274"/>
      <c r="E6" s="23"/>
      <c r="F6" s="22"/>
      <c r="G6" s="22"/>
    </row>
    <row r="7" spans="1:11" s="20" customFormat="1" ht="13.5" thickBot="1" x14ac:dyDescent="0.25">
      <c r="A7" s="305" t="s">
        <v>2</v>
      </c>
      <c r="B7" s="306"/>
      <c r="C7" s="306"/>
      <c r="D7" s="306"/>
      <c r="E7" s="306"/>
      <c r="F7" s="306"/>
      <c r="G7" s="306"/>
      <c r="H7" s="307"/>
    </row>
    <row r="8" spans="1:11" ht="16.5" thickBot="1" x14ac:dyDescent="0.3">
      <c r="A8" s="35" t="s">
        <v>3</v>
      </c>
      <c r="B8" s="36" t="s">
        <v>4</v>
      </c>
      <c r="C8" s="36" t="s">
        <v>5</v>
      </c>
      <c r="D8" s="36" t="s">
        <v>6</v>
      </c>
      <c r="E8" s="36" t="s">
        <v>7</v>
      </c>
      <c r="F8" s="36" t="s">
        <v>8</v>
      </c>
      <c r="G8" s="36" t="s">
        <v>9</v>
      </c>
      <c r="H8" s="37" t="s">
        <v>10</v>
      </c>
    </row>
    <row r="9" spans="1:11" s="18" customFormat="1" x14ac:dyDescent="0.25">
      <c r="A9" s="245" t="s">
        <v>11</v>
      </c>
      <c r="B9" s="246"/>
      <c r="C9" s="247" t="s">
        <v>12</v>
      </c>
      <c r="D9" s="248"/>
      <c r="E9" s="249"/>
      <c r="F9" s="248"/>
      <c r="G9" s="248"/>
      <c r="H9" s="250"/>
    </row>
    <row r="10" spans="1:11" s="18" customFormat="1" x14ac:dyDescent="0.25">
      <c r="A10" s="251" t="s">
        <v>13</v>
      </c>
      <c r="B10" s="252" t="s">
        <v>14</v>
      </c>
      <c r="C10" s="253" t="s">
        <v>15</v>
      </c>
      <c r="D10" s="253">
        <v>10</v>
      </c>
      <c r="E10" s="252" t="s">
        <v>16</v>
      </c>
      <c r="F10" s="253">
        <f>387.65+22.51</f>
        <v>410.15999999999997</v>
      </c>
      <c r="G10" s="253">
        <f>D10*F10</f>
        <v>4101.5999999999995</v>
      </c>
      <c r="H10" s="254"/>
      <c r="I10" s="187"/>
      <c r="J10" s="187"/>
    </row>
    <row r="11" spans="1:11" s="18" customFormat="1" x14ac:dyDescent="0.25">
      <c r="A11" s="251" t="s">
        <v>17</v>
      </c>
      <c r="B11" s="252" t="s">
        <v>18</v>
      </c>
      <c r="C11" s="253" t="s">
        <v>19</v>
      </c>
      <c r="D11" s="253">
        <v>1</v>
      </c>
      <c r="E11" s="252" t="s">
        <v>247</v>
      </c>
      <c r="F11" s="253">
        <f>3011.71+174.92</f>
        <v>3186.63</v>
      </c>
      <c r="G11" s="253">
        <f t="shared" ref="G11:G15" si="0">D11*F11</f>
        <v>3186.63</v>
      </c>
      <c r="H11" s="254"/>
      <c r="I11" s="187"/>
      <c r="J11" s="187"/>
    </row>
    <row r="12" spans="1:11" s="18" customFormat="1" x14ac:dyDescent="0.25">
      <c r="A12" s="251" t="s">
        <v>21</v>
      </c>
      <c r="B12" s="252"/>
      <c r="C12" s="253" t="s">
        <v>22</v>
      </c>
      <c r="D12" s="253"/>
      <c r="E12" s="252"/>
      <c r="F12" s="253"/>
      <c r="G12" s="253"/>
      <c r="H12" s="254"/>
      <c r="I12" s="187"/>
      <c r="J12" s="187"/>
    </row>
    <row r="13" spans="1:11" s="18" customFormat="1" x14ac:dyDescent="0.25">
      <c r="A13" s="251" t="s">
        <v>23</v>
      </c>
      <c r="B13" s="252" t="s">
        <v>24</v>
      </c>
      <c r="C13" s="253" t="s">
        <v>25</v>
      </c>
      <c r="D13" s="253">
        <v>2.88</v>
      </c>
      <c r="E13" s="252" t="s">
        <v>16</v>
      </c>
      <c r="F13" s="253">
        <f>226.66+13.16</f>
        <v>239.82</v>
      </c>
      <c r="G13" s="253">
        <f>D13*F13</f>
        <v>690.6816</v>
      </c>
      <c r="H13" s="254"/>
      <c r="I13" s="187"/>
      <c r="J13" s="187"/>
    </row>
    <row r="14" spans="1:11" s="18" customFormat="1" x14ac:dyDescent="0.25">
      <c r="A14" s="251" t="s">
        <v>26</v>
      </c>
      <c r="B14" s="252" t="s">
        <v>27</v>
      </c>
      <c r="C14" s="253" t="s">
        <v>28</v>
      </c>
      <c r="D14" s="253">
        <v>2</v>
      </c>
      <c r="E14" s="252" t="s">
        <v>16</v>
      </c>
      <c r="F14" s="253">
        <f>226.66+13.16</f>
        <v>239.82</v>
      </c>
      <c r="G14" s="253">
        <f t="shared" si="0"/>
        <v>479.64</v>
      </c>
      <c r="H14" s="254"/>
      <c r="I14" s="187"/>
      <c r="J14" s="187"/>
    </row>
    <row r="15" spans="1:11" s="18" customFormat="1" x14ac:dyDescent="0.25">
      <c r="A15" s="251" t="s">
        <v>29</v>
      </c>
      <c r="B15" s="252" t="s">
        <v>30</v>
      </c>
      <c r="C15" s="253" t="s">
        <v>31</v>
      </c>
      <c r="D15" s="253">
        <v>1490.2</v>
      </c>
      <c r="E15" s="252" t="s">
        <v>16</v>
      </c>
      <c r="F15" s="253">
        <f>5.35+0.31</f>
        <v>5.6599999999999993</v>
      </c>
      <c r="G15" s="253">
        <f t="shared" si="0"/>
        <v>8434.5319999999992</v>
      </c>
      <c r="H15" s="254"/>
      <c r="I15" s="187"/>
      <c r="J15" s="187"/>
      <c r="K15" s="19"/>
    </row>
    <row r="16" spans="1:11" s="19" customFormat="1" x14ac:dyDescent="0.25">
      <c r="A16" s="251"/>
      <c r="B16" s="252"/>
      <c r="C16" s="255" t="s">
        <v>32</v>
      </c>
      <c r="D16" s="253"/>
      <c r="E16" s="252"/>
      <c r="F16" s="253"/>
      <c r="G16" s="255">
        <f>SUM(G10:G15)</f>
        <v>16893.083599999998</v>
      </c>
      <c r="H16" s="256">
        <f>G16/$G$263</f>
        <v>1.0528769253819426E-2</v>
      </c>
      <c r="I16" s="187"/>
      <c r="J16" s="187"/>
      <c r="K16" s="18"/>
    </row>
    <row r="17" spans="1:11" s="18" customFormat="1" x14ac:dyDescent="0.25">
      <c r="A17" s="251"/>
      <c r="B17" s="252"/>
      <c r="C17" s="253"/>
      <c r="D17" s="253"/>
      <c r="E17" s="252"/>
      <c r="F17" s="253"/>
      <c r="G17" s="253"/>
      <c r="H17" s="254"/>
      <c r="I17" s="187"/>
      <c r="J17" s="187"/>
    </row>
    <row r="18" spans="1:11" s="18" customFormat="1" x14ac:dyDescent="0.25">
      <c r="A18" s="251" t="s">
        <v>33</v>
      </c>
      <c r="B18" s="252"/>
      <c r="C18" s="255" t="s">
        <v>34</v>
      </c>
      <c r="D18" s="253"/>
      <c r="E18" s="252"/>
      <c r="F18" s="253"/>
      <c r="G18" s="253"/>
      <c r="H18" s="254"/>
      <c r="I18" s="187"/>
      <c r="J18" s="187"/>
    </row>
    <row r="19" spans="1:11" s="18" customFormat="1" x14ac:dyDescent="0.25">
      <c r="A19" s="251" t="s">
        <v>35</v>
      </c>
      <c r="B19" s="252" t="s">
        <v>36</v>
      </c>
      <c r="C19" s="253" t="s">
        <v>37</v>
      </c>
      <c r="D19" s="253">
        <v>540</v>
      </c>
      <c r="E19" s="252" t="s">
        <v>38</v>
      </c>
      <c r="F19" s="253">
        <f>59.41+3.45</f>
        <v>62.86</v>
      </c>
      <c r="G19" s="253">
        <f>D19*F19</f>
        <v>33944.400000000001</v>
      </c>
      <c r="H19" s="254"/>
      <c r="I19" s="187"/>
      <c r="J19" s="187"/>
    </row>
    <row r="20" spans="1:11" s="18" customFormat="1" x14ac:dyDescent="0.25">
      <c r="A20" s="251" t="s">
        <v>39</v>
      </c>
      <c r="B20" s="252" t="s">
        <v>40</v>
      </c>
      <c r="C20" s="253" t="s">
        <v>41</v>
      </c>
      <c r="D20" s="253">
        <v>10.74</v>
      </c>
      <c r="E20" s="252" t="s">
        <v>42</v>
      </c>
      <c r="F20" s="253">
        <f>2238.63+130.02</f>
        <v>2368.65</v>
      </c>
      <c r="G20" s="253">
        <f t="shared" ref="G20:G25" si="1">D20*F20</f>
        <v>25439.301000000003</v>
      </c>
      <c r="H20" s="254"/>
      <c r="I20" s="187"/>
      <c r="J20" s="187"/>
    </row>
    <row r="21" spans="1:11" s="18" customFormat="1" x14ac:dyDescent="0.25">
      <c r="A21" s="251" t="s">
        <v>43</v>
      </c>
      <c r="B21" s="252" t="s">
        <v>44</v>
      </c>
      <c r="C21" s="253" t="s">
        <v>45</v>
      </c>
      <c r="D21" s="253">
        <v>16.38</v>
      </c>
      <c r="E21" s="252" t="s">
        <v>42</v>
      </c>
      <c r="F21" s="253">
        <f>40.9+2.38</f>
        <v>43.28</v>
      </c>
      <c r="G21" s="253">
        <f t="shared" si="1"/>
        <v>708.92639999999994</v>
      </c>
      <c r="H21" s="254"/>
      <c r="I21" s="187"/>
      <c r="J21" s="187"/>
    </row>
    <row r="22" spans="1:11" s="18" customFormat="1" x14ac:dyDescent="0.25">
      <c r="A22" s="251" t="s">
        <v>46</v>
      </c>
      <c r="B22" s="252" t="s">
        <v>47</v>
      </c>
      <c r="C22" s="253" t="s">
        <v>48</v>
      </c>
      <c r="D22" s="253">
        <v>60.75</v>
      </c>
      <c r="E22" s="252" t="s">
        <v>42</v>
      </c>
      <c r="F22" s="253">
        <f>45.81+2.66</f>
        <v>48.47</v>
      </c>
      <c r="G22" s="253">
        <f t="shared" si="1"/>
        <v>2944.5524999999998</v>
      </c>
      <c r="H22" s="254"/>
      <c r="I22" s="187"/>
      <c r="J22" s="187"/>
    </row>
    <row r="23" spans="1:11" s="18" customFormat="1" x14ac:dyDescent="0.25">
      <c r="A23" s="251" t="s">
        <v>49</v>
      </c>
      <c r="B23" s="252" t="s">
        <v>50</v>
      </c>
      <c r="C23" s="253" t="s">
        <v>51</v>
      </c>
      <c r="D23" s="253">
        <v>36</v>
      </c>
      <c r="E23" s="252" t="s">
        <v>247</v>
      </c>
      <c r="F23" s="253">
        <f>49.08+2.85</f>
        <v>51.93</v>
      </c>
      <c r="G23" s="253">
        <f t="shared" si="1"/>
        <v>1869.48</v>
      </c>
      <c r="H23" s="254"/>
      <c r="I23" s="187"/>
      <c r="J23" s="187"/>
    </row>
    <row r="24" spans="1:11" s="18" customFormat="1" x14ac:dyDescent="0.25">
      <c r="A24" s="251" t="s">
        <v>52</v>
      </c>
      <c r="B24" s="267" t="s">
        <v>53</v>
      </c>
      <c r="C24" s="253" t="s">
        <v>54</v>
      </c>
      <c r="D24" s="253">
        <v>15.49</v>
      </c>
      <c r="E24" s="252" t="s">
        <v>16</v>
      </c>
      <c r="F24" s="253">
        <f>2643.78+9.75</f>
        <v>2653.53</v>
      </c>
      <c r="G24" s="253">
        <f t="shared" si="1"/>
        <v>41103.179700000001</v>
      </c>
      <c r="H24" s="254"/>
      <c r="I24" s="187"/>
      <c r="J24" s="187"/>
    </row>
    <row r="25" spans="1:11" s="18" customFormat="1" x14ac:dyDescent="0.25">
      <c r="A25" s="251" t="s">
        <v>55</v>
      </c>
      <c r="B25" s="252" t="s">
        <v>56</v>
      </c>
      <c r="C25" s="253" t="s">
        <v>57</v>
      </c>
      <c r="D25" s="253">
        <v>49.75</v>
      </c>
      <c r="E25" s="252" t="s">
        <v>16</v>
      </c>
      <c r="F25" s="253">
        <f>28.52+1.66</f>
        <v>30.18</v>
      </c>
      <c r="G25" s="253">
        <f t="shared" si="1"/>
        <v>1501.4549999999999</v>
      </c>
      <c r="H25" s="254"/>
      <c r="I25" s="187"/>
      <c r="J25" s="187"/>
    </row>
    <row r="26" spans="1:11" s="18" customFormat="1" x14ac:dyDescent="0.25">
      <c r="A26" s="251"/>
      <c r="B26" s="252"/>
      <c r="C26" s="255" t="s">
        <v>58</v>
      </c>
      <c r="D26" s="253"/>
      <c r="E26" s="252"/>
      <c r="F26" s="253"/>
      <c r="G26" s="255">
        <f>SUM(G19:G25)</f>
        <v>107511.29460000001</v>
      </c>
      <c r="H26" s="256">
        <f>G26/$G$263</f>
        <v>6.7007400177833895E-2</v>
      </c>
      <c r="I26" s="187"/>
      <c r="J26" s="187"/>
    </row>
    <row r="27" spans="1:11" s="18" customFormat="1" x14ac:dyDescent="0.25">
      <c r="A27" s="251"/>
      <c r="B27" s="252"/>
      <c r="C27" s="253"/>
      <c r="D27" s="253"/>
      <c r="E27" s="252"/>
      <c r="F27" s="253"/>
      <c r="G27" s="253"/>
      <c r="H27" s="254"/>
      <c r="I27" s="187"/>
      <c r="J27" s="187"/>
      <c r="K27" s="19"/>
    </row>
    <row r="28" spans="1:11" s="19" customFormat="1" x14ac:dyDescent="0.25">
      <c r="A28" s="251" t="s">
        <v>59</v>
      </c>
      <c r="B28" s="252"/>
      <c r="C28" s="255" t="s">
        <v>60</v>
      </c>
      <c r="D28" s="253"/>
      <c r="E28" s="252"/>
      <c r="F28" s="253"/>
      <c r="G28" s="255"/>
      <c r="H28" s="257"/>
      <c r="I28" s="187"/>
      <c r="J28" s="187"/>
      <c r="K28" s="18"/>
    </row>
    <row r="29" spans="1:11" s="18" customFormat="1" x14ac:dyDescent="0.25">
      <c r="A29" s="251" t="s">
        <v>61</v>
      </c>
      <c r="B29" s="259">
        <v>96000</v>
      </c>
      <c r="C29" s="253" t="s">
        <v>62</v>
      </c>
      <c r="D29" s="253">
        <f>Quantitativo!H66</f>
        <v>1117.4624999999999</v>
      </c>
      <c r="E29" s="252" t="s">
        <v>16</v>
      </c>
      <c r="F29" s="253">
        <f>378+25.51</f>
        <v>403.51</v>
      </c>
      <c r="G29" s="253">
        <f>D29*F29</f>
        <v>450907.29337499995</v>
      </c>
      <c r="H29" s="254"/>
      <c r="I29" s="187"/>
      <c r="J29" s="187"/>
    </row>
    <row r="30" spans="1:11" s="18" customFormat="1" x14ac:dyDescent="0.25">
      <c r="A30" s="251" t="s">
        <v>63</v>
      </c>
      <c r="B30" s="252" t="s">
        <v>64</v>
      </c>
      <c r="C30" s="253" t="s">
        <v>65</v>
      </c>
      <c r="D30" s="253">
        <v>14.37</v>
      </c>
      <c r="E30" s="252" t="s">
        <v>42</v>
      </c>
      <c r="F30" s="253">
        <f>2806.41+162.99</f>
        <v>2969.3999999999996</v>
      </c>
      <c r="G30" s="253">
        <f t="shared" ref="G30:G35" si="2">D30*F30</f>
        <v>42670.277999999991</v>
      </c>
      <c r="H30" s="254"/>
      <c r="I30" s="187"/>
      <c r="J30" s="187"/>
    </row>
    <row r="31" spans="1:11" s="18" customFormat="1" x14ac:dyDescent="0.25">
      <c r="A31" s="251" t="s">
        <v>66</v>
      </c>
      <c r="B31" s="252"/>
      <c r="C31" s="253" t="s">
        <v>67</v>
      </c>
      <c r="D31" s="253"/>
      <c r="E31" s="252"/>
      <c r="F31" s="253"/>
      <c r="G31" s="253"/>
      <c r="H31" s="254"/>
      <c r="I31" s="187"/>
      <c r="J31" s="187"/>
    </row>
    <row r="32" spans="1:11" s="18" customFormat="1" x14ac:dyDescent="0.25">
      <c r="A32" s="251" t="s">
        <v>68</v>
      </c>
      <c r="B32" s="287" t="s">
        <v>69</v>
      </c>
      <c r="C32" s="253" t="s">
        <v>70</v>
      </c>
      <c r="D32" s="253">
        <v>103.8</v>
      </c>
      <c r="E32" s="252" t="s">
        <v>16</v>
      </c>
      <c r="F32" s="253">
        <f>118.85+22.88</f>
        <v>141.72999999999999</v>
      </c>
      <c r="G32" s="253">
        <f t="shared" si="2"/>
        <v>14711.573999999999</v>
      </c>
      <c r="H32" s="254"/>
      <c r="I32" s="187"/>
      <c r="J32" s="187"/>
    </row>
    <row r="33" spans="1:11" s="18" customFormat="1" x14ac:dyDescent="0.25">
      <c r="A33" s="251" t="s">
        <v>71</v>
      </c>
      <c r="B33" s="287" t="s">
        <v>72</v>
      </c>
      <c r="C33" s="253" t="s">
        <v>73</v>
      </c>
      <c r="D33" s="253">
        <v>97.87</v>
      </c>
      <c r="E33" s="252" t="s">
        <v>16</v>
      </c>
      <c r="F33" s="253">
        <f>129.46+24.92</f>
        <v>154.38</v>
      </c>
      <c r="G33" s="253">
        <f t="shared" si="2"/>
        <v>15109.170599999999</v>
      </c>
      <c r="H33" s="254"/>
      <c r="I33" s="187"/>
      <c r="J33" s="187"/>
    </row>
    <row r="34" spans="1:11" s="18" customFormat="1" x14ac:dyDescent="0.25">
      <c r="A34" s="251" t="s">
        <v>74</v>
      </c>
      <c r="B34" s="252" t="s">
        <v>75</v>
      </c>
      <c r="C34" s="253" t="s">
        <v>76</v>
      </c>
      <c r="D34" s="253">
        <v>19.920000000000002</v>
      </c>
      <c r="E34" s="252" t="s">
        <v>42</v>
      </c>
      <c r="F34" s="253">
        <f>450.39</f>
        <v>450.39</v>
      </c>
      <c r="G34" s="253">
        <f t="shared" si="2"/>
        <v>8971.7687999999998</v>
      </c>
      <c r="H34" s="254"/>
      <c r="I34" s="187"/>
      <c r="J34" s="187"/>
    </row>
    <row r="35" spans="1:11" s="18" customFormat="1" x14ac:dyDescent="0.25">
      <c r="A35" s="251" t="s">
        <v>852</v>
      </c>
      <c r="B35" s="252" t="s">
        <v>854</v>
      </c>
      <c r="C35" s="253" t="s">
        <v>855</v>
      </c>
      <c r="D35" s="253">
        <f>Quantitativo!H84</f>
        <v>2.9220000000000002</v>
      </c>
      <c r="E35" s="252" t="s">
        <v>42</v>
      </c>
      <c r="F35" s="253">
        <f>1731.92+100.59</f>
        <v>1832.51</v>
      </c>
      <c r="G35" s="253">
        <f t="shared" si="2"/>
        <v>5354.59422</v>
      </c>
      <c r="H35" s="254"/>
      <c r="I35" s="187"/>
      <c r="J35" s="187"/>
    </row>
    <row r="36" spans="1:11" s="19" customFormat="1" x14ac:dyDescent="0.25">
      <c r="A36" s="251"/>
      <c r="B36" s="252"/>
      <c r="C36" s="255" t="s">
        <v>77</v>
      </c>
      <c r="D36" s="253"/>
      <c r="E36" s="252"/>
      <c r="F36" s="253"/>
      <c r="G36" s="255">
        <f>SUM(G29:G35)</f>
        <v>537724.67899499997</v>
      </c>
      <c r="H36" s="256">
        <f>G36/$G$263</f>
        <v>0.33514183681790793</v>
      </c>
      <c r="I36" s="187"/>
      <c r="J36" s="187"/>
      <c r="K36" s="18"/>
    </row>
    <row r="37" spans="1:11" s="18" customFormat="1" x14ac:dyDescent="0.25">
      <c r="A37" s="251"/>
      <c r="B37" s="252"/>
      <c r="C37" s="253"/>
      <c r="D37" s="253"/>
      <c r="E37" s="252"/>
      <c r="F37" s="253"/>
      <c r="G37" s="253"/>
      <c r="H37" s="254"/>
      <c r="I37" s="187"/>
      <c r="J37" s="187"/>
      <c r="K37" s="19"/>
    </row>
    <row r="38" spans="1:11" s="19" customFormat="1" x14ac:dyDescent="0.25">
      <c r="A38" s="251" t="s">
        <v>78</v>
      </c>
      <c r="B38" s="252"/>
      <c r="C38" s="255" t="s">
        <v>79</v>
      </c>
      <c r="D38" s="253"/>
      <c r="E38" s="252"/>
      <c r="F38" s="253"/>
      <c r="G38" s="255"/>
      <c r="H38" s="257"/>
      <c r="I38" s="187"/>
      <c r="J38" s="187"/>
      <c r="K38" s="18"/>
    </row>
    <row r="39" spans="1:11" s="18" customFormat="1" x14ac:dyDescent="0.25">
      <c r="A39" s="251" t="s">
        <v>80</v>
      </c>
      <c r="B39" s="252" t="s">
        <v>81</v>
      </c>
      <c r="C39" s="253" t="s">
        <v>82</v>
      </c>
      <c r="D39" s="253">
        <f>Quantitativo!H102</f>
        <v>910.68599999999992</v>
      </c>
      <c r="E39" s="252" t="s">
        <v>16</v>
      </c>
      <c r="F39" s="253">
        <v>65</v>
      </c>
      <c r="G39" s="253">
        <f>D39*F39</f>
        <v>59194.59</v>
      </c>
      <c r="H39" s="254"/>
      <c r="I39" s="187"/>
      <c r="J39" s="187"/>
    </row>
    <row r="40" spans="1:11" s="18" customFormat="1" x14ac:dyDescent="0.25">
      <c r="A40" s="251" t="s">
        <v>83</v>
      </c>
      <c r="B40" s="252" t="s">
        <v>84</v>
      </c>
      <c r="C40" s="253" t="s">
        <v>85</v>
      </c>
      <c r="D40" s="253">
        <v>1.06</v>
      </c>
      <c r="E40" s="252" t="s">
        <v>16</v>
      </c>
      <c r="F40" s="253">
        <f>2866.6+166.49</f>
        <v>3033.09</v>
      </c>
      <c r="G40" s="253">
        <f t="shared" ref="G40:G41" si="3">D40*F40</f>
        <v>3215.0754000000002</v>
      </c>
      <c r="H40" s="254"/>
      <c r="I40" s="187"/>
      <c r="J40" s="187"/>
    </row>
    <row r="41" spans="1:11" s="18" customFormat="1" x14ac:dyDescent="0.25">
      <c r="A41" s="251" t="s">
        <v>86</v>
      </c>
      <c r="B41" s="252" t="s">
        <v>87</v>
      </c>
      <c r="C41" s="253" t="s">
        <v>88</v>
      </c>
      <c r="D41" s="253">
        <v>31.64</v>
      </c>
      <c r="E41" s="252" t="s">
        <v>16</v>
      </c>
      <c r="F41" s="253">
        <f>360.71+20.95</f>
        <v>381.65999999999997</v>
      </c>
      <c r="G41" s="253">
        <f t="shared" si="3"/>
        <v>12075.722399999999</v>
      </c>
      <c r="H41" s="254"/>
      <c r="I41" s="187"/>
      <c r="J41" s="187"/>
    </row>
    <row r="42" spans="1:11" s="19" customFormat="1" x14ac:dyDescent="0.25">
      <c r="A42" s="251"/>
      <c r="B42" s="252"/>
      <c r="C42" s="255" t="s">
        <v>94</v>
      </c>
      <c r="D42" s="253"/>
      <c r="E42" s="252"/>
      <c r="F42" s="253"/>
      <c r="G42" s="255">
        <f>SUM(G39:G41)</f>
        <v>74485.387799999997</v>
      </c>
      <c r="H42" s="256">
        <f>G42/$G$263</f>
        <v>4.6423700935657279E-2</v>
      </c>
      <c r="I42" s="187"/>
      <c r="J42" s="187"/>
      <c r="K42" s="18"/>
    </row>
    <row r="43" spans="1:11" s="18" customFormat="1" x14ac:dyDescent="0.25">
      <c r="A43" s="251"/>
      <c r="B43" s="252"/>
      <c r="C43" s="253"/>
      <c r="D43" s="253"/>
      <c r="E43" s="252"/>
      <c r="F43" s="253"/>
      <c r="G43" s="253"/>
      <c r="H43" s="254"/>
      <c r="I43" s="187"/>
      <c r="J43" s="187"/>
    </row>
    <row r="44" spans="1:11" s="18" customFormat="1" x14ac:dyDescent="0.25">
      <c r="A44" s="251" t="s">
        <v>95</v>
      </c>
      <c r="B44" s="252"/>
      <c r="C44" s="255" t="s">
        <v>96</v>
      </c>
      <c r="D44" s="253"/>
      <c r="E44" s="252"/>
      <c r="F44" s="253"/>
      <c r="G44" s="253"/>
      <c r="H44" s="254"/>
      <c r="I44" s="187"/>
      <c r="J44" s="187"/>
    </row>
    <row r="45" spans="1:11" s="18" customFormat="1" x14ac:dyDescent="0.25">
      <c r="A45" s="251" t="s">
        <v>97</v>
      </c>
      <c r="B45" s="252" t="s">
        <v>98</v>
      </c>
      <c r="C45" s="253" t="s">
        <v>99</v>
      </c>
      <c r="D45" s="253">
        <v>118.8</v>
      </c>
      <c r="E45" s="252" t="s">
        <v>16</v>
      </c>
      <c r="F45" s="253">
        <f>23.56</f>
        <v>23.56</v>
      </c>
      <c r="G45" s="253">
        <f>D45*F45</f>
        <v>2798.9279999999999</v>
      </c>
      <c r="H45" s="254"/>
      <c r="I45" s="187"/>
      <c r="J45" s="187"/>
    </row>
    <row r="46" spans="1:11" s="18" customFormat="1" x14ac:dyDescent="0.25">
      <c r="A46" s="251" t="s">
        <v>100</v>
      </c>
      <c r="B46" s="252" t="s">
        <v>406</v>
      </c>
      <c r="C46" s="253" t="s">
        <v>405</v>
      </c>
      <c r="D46" s="253">
        <f>Quantitativo!H120</f>
        <v>237.51</v>
      </c>
      <c r="E46" s="252" t="s">
        <v>16</v>
      </c>
      <c r="F46" s="253">
        <f>223.6+12.99</f>
        <v>236.59</v>
      </c>
      <c r="G46" s="253">
        <f t="shared" ref="G46:G49" si="4">D46*F46</f>
        <v>56192.490899999997</v>
      </c>
      <c r="H46" s="254"/>
      <c r="I46" s="187"/>
      <c r="J46" s="187"/>
    </row>
    <row r="47" spans="1:11" s="18" customFormat="1" x14ac:dyDescent="0.25">
      <c r="A47" s="251" t="s">
        <v>102</v>
      </c>
      <c r="B47" s="252" t="s">
        <v>101</v>
      </c>
      <c r="C47" s="253" t="s">
        <v>412</v>
      </c>
      <c r="D47" s="253">
        <f>Quantitativo!H124</f>
        <v>356.31</v>
      </c>
      <c r="E47" s="252" t="s">
        <v>16</v>
      </c>
      <c r="F47" s="253">
        <f>49.84</f>
        <v>49.84</v>
      </c>
      <c r="G47" s="253">
        <f t="shared" si="4"/>
        <v>17758.490400000002</v>
      </c>
      <c r="H47" s="254"/>
      <c r="I47" s="187"/>
      <c r="J47" s="187"/>
    </row>
    <row r="48" spans="1:11" s="18" customFormat="1" x14ac:dyDescent="0.25">
      <c r="A48" s="251" t="s">
        <v>105</v>
      </c>
      <c r="B48" s="252" t="s">
        <v>103</v>
      </c>
      <c r="C48" s="253" t="s">
        <v>104</v>
      </c>
      <c r="D48" s="253">
        <f>Quantitativo!H130</f>
        <v>126.85000000000001</v>
      </c>
      <c r="E48" s="252" t="s">
        <v>38</v>
      </c>
      <c r="F48" s="253">
        <f>80.7+4.69</f>
        <v>85.39</v>
      </c>
      <c r="G48" s="253">
        <f t="shared" si="4"/>
        <v>10831.721500000001</v>
      </c>
      <c r="H48" s="254"/>
      <c r="I48" s="187"/>
      <c r="J48" s="187"/>
    </row>
    <row r="49" spans="1:11" s="18" customFormat="1" x14ac:dyDescent="0.25">
      <c r="A49" s="251" t="s">
        <v>417</v>
      </c>
      <c r="B49" s="252" t="s">
        <v>106</v>
      </c>
      <c r="C49" s="253" t="s">
        <v>107</v>
      </c>
      <c r="D49" s="253">
        <v>90.48</v>
      </c>
      <c r="E49" s="252" t="s">
        <v>38</v>
      </c>
      <c r="F49" s="253">
        <f>45.42+2.64</f>
        <v>48.06</v>
      </c>
      <c r="G49" s="253">
        <f t="shared" si="4"/>
        <v>4348.4688000000006</v>
      </c>
      <c r="H49" s="254"/>
      <c r="I49" s="187"/>
      <c r="J49" s="187"/>
      <c r="K49" s="19"/>
    </row>
    <row r="50" spans="1:11" s="19" customFormat="1" x14ac:dyDescent="0.25">
      <c r="A50" s="251"/>
      <c r="B50" s="252"/>
      <c r="C50" s="255" t="s">
        <v>108</v>
      </c>
      <c r="D50" s="253"/>
      <c r="E50" s="252"/>
      <c r="F50" s="253"/>
      <c r="G50" s="255">
        <f>SUM(G45:G49)</f>
        <v>91930.099600000001</v>
      </c>
      <c r="H50" s="256">
        <f>G50/$G$263</f>
        <v>5.7296277523248493E-2</v>
      </c>
      <c r="I50" s="187"/>
      <c r="J50" s="187"/>
      <c r="K50" s="18"/>
    </row>
    <row r="51" spans="1:11" s="18" customFormat="1" x14ac:dyDescent="0.25">
      <c r="A51" s="251"/>
      <c r="B51" s="252"/>
      <c r="C51" s="253"/>
      <c r="D51" s="253"/>
      <c r="E51" s="252"/>
      <c r="F51" s="253"/>
      <c r="G51" s="253"/>
      <c r="H51" s="254"/>
      <c r="I51" s="187"/>
      <c r="J51" s="187"/>
      <c r="K51" s="19"/>
    </row>
    <row r="52" spans="1:11" s="19" customFormat="1" x14ac:dyDescent="0.25">
      <c r="A52" s="251" t="s">
        <v>109</v>
      </c>
      <c r="B52" s="252"/>
      <c r="C52" s="255" t="s">
        <v>110</v>
      </c>
      <c r="D52" s="253"/>
      <c r="E52" s="252"/>
      <c r="F52" s="253"/>
      <c r="G52" s="255"/>
      <c r="H52" s="257"/>
      <c r="I52" s="187"/>
      <c r="J52" s="187"/>
      <c r="K52" s="18"/>
    </row>
    <row r="53" spans="1:11" s="18" customFormat="1" x14ac:dyDescent="0.25">
      <c r="A53" s="251" t="s">
        <v>111</v>
      </c>
      <c r="B53" s="252" t="s">
        <v>112</v>
      </c>
      <c r="C53" s="253" t="s">
        <v>113</v>
      </c>
      <c r="D53" s="253">
        <f>Quantitativo!H138</f>
        <v>1932.0219999999999</v>
      </c>
      <c r="E53" s="252" t="s">
        <v>16</v>
      </c>
      <c r="F53" s="253">
        <f>8.7+0.51</f>
        <v>9.2099999999999991</v>
      </c>
      <c r="G53" s="253">
        <f>D53*F53</f>
        <v>17793.922619999998</v>
      </c>
      <c r="H53" s="254"/>
      <c r="I53" s="187"/>
      <c r="J53" s="187"/>
    </row>
    <row r="54" spans="1:11" s="18" customFormat="1" x14ac:dyDescent="0.25">
      <c r="A54" s="251" t="s">
        <v>114</v>
      </c>
      <c r="B54" s="252" t="s">
        <v>456</v>
      </c>
      <c r="C54" s="253" t="s">
        <v>443</v>
      </c>
      <c r="D54" s="253">
        <f>Quantitativo!H140</f>
        <v>621.89199999999983</v>
      </c>
      <c r="E54" s="252" t="s">
        <v>16</v>
      </c>
      <c r="F54" s="253">
        <f>17.76+1.03</f>
        <v>18.790000000000003</v>
      </c>
      <c r="G54" s="253">
        <f>D54*F54</f>
        <v>11685.350679999998</v>
      </c>
      <c r="H54" s="254"/>
      <c r="I54" s="187"/>
      <c r="J54" s="187"/>
    </row>
    <row r="55" spans="1:11" s="18" customFormat="1" x14ac:dyDescent="0.25">
      <c r="A55" s="251" t="s">
        <v>117</v>
      </c>
      <c r="B55" s="252" t="s">
        <v>115</v>
      </c>
      <c r="C55" s="253" t="s">
        <v>116</v>
      </c>
      <c r="D55" s="253">
        <f>Quantitativo!H142</f>
        <v>1310.1300000000001</v>
      </c>
      <c r="E55" s="252" t="s">
        <v>16</v>
      </c>
      <c r="F55" s="253">
        <f>21.2+1.23</f>
        <v>22.43</v>
      </c>
      <c r="G55" s="253">
        <f t="shared" ref="G55:G59" si="5">D55*F55</f>
        <v>29386.215900000003</v>
      </c>
      <c r="H55" s="254"/>
      <c r="I55" s="187"/>
      <c r="J55" s="187"/>
    </row>
    <row r="56" spans="1:11" s="18" customFormat="1" x14ac:dyDescent="0.25">
      <c r="A56" s="251" t="s">
        <v>120</v>
      </c>
      <c r="B56" s="252" t="s">
        <v>118</v>
      </c>
      <c r="C56" s="253" t="s">
        <v>119</v>
      </c>
      <c r="D56" s="253">
        <f>Quantitativo!H163</f>
        <v>323.32999999999993</v>
      </c>
      <c r="E56" s="252" t="s">
        <v>16</v>
      </c>
      <c r="F56" s="253">
        <f>88.9+5.16</f>
        <v>94.06</v>
      </c>
      <c r="G56" s="253">
        <f t="shared" si="5"/>
        <v>30412.419799999992</v>
      </c>
      <c r="H56" s="254"/>
      <c r="I56" s="187"/>
      <c r="J56" s="187"/>
    </row>
    <row r="57" spans="1:11" s="18" customFormat="1" x14ac:dyDescent="0.25">
      <c r="A57" s="251" t="s">
        <v>122</v>
      </c>
      <c r="B57" s="286" t="s">
        <v>441</v>
      </c>
      <c r="C57" s="253" t="s">
        <v>121</v>
      </c>
      <c r="D57" s="253">
        <v>41</v>
      </c>
      <c r="E57" s="252" t="s">
        <v>247</v>
      </c>
      <c r="F57" s="253">
        <f>112.19+21.59</f>
        <v>133.78</v>
      </c>
      <c r="G57" s="253">
        <f t="shared" si="5"/>
        <v>5484.9800000000005</v>
      </c>
      <c r="H57" s="254"/>
      <c r="I57" s="187"/>
      <c r="J57" s="187"/>
    </row>
    <row r="58" spans="1:11" s="18" customFormat="1" x14ac:dyDescent="0.25">
      <c r="A58" s="251" t="s">
        <v>123</v>
      </c>
      <c r="B58" s="268">
        <v>96001</v>
      </c>
      <c r="C58" s="253" t="s">
        <v>444</v>
      </c>
      <c r="D58" s="253">
        <v>46.5</v>
      </c>
      <c r="E58" s="252" t="s">
        <v>16</v>
      </c>
      <c r="F58" s="253">
        <f>315+21.26</f>
        <v>336.26</v>
      </c>
      <c r="G58" s="253">
        <f t="shared" si="5"/>
        <v>15636.09</v>
      </c>
      <c r="H58" s="254"/>
      <c r="I58" s="187"/>
      <c r="J58" s="187"/>
    </row>
    <row r="59" spans="1:11" s="18" customFormat="1" x14ac:dyDescent="0.25">
      <c r="A59" s="251" t="s">
        <v>124</v>
      </c>
      <c r="B59" s="252" t="s">
        <v>452</v>
      </c>
      <c r="C59" s="253" t="s">
        <v>446</v>
      </c>
      <c r="D59" s="253">
        <v>298.56</v>
      </c>
      <c r="E59" s="252" t="s">
        <v>16</v>
      </c>
      <c r="F59" s="253">
        <f>79.85+4.64</f>
        <v>84.49</v>
      </c>
      <c r="G59" s="253">
        <f t="shared" si="5"/>
        <v>25225.3344</v>
      </c>
      <c r="H59" s="254"/>
      <c r="I59" s="187"/>
      <c r="J59" s="187"/>
    </row>
    <row r="60" spans="1:11" s="19" customFormat="1" x14ac:dyDescent="0.25">
      <c r="A60" s="251"/>
      <c r="B60" s="252"/>
      <c r="C60" s="255" t="s">
        <v>125</v>
      </c>
      <c r="D60" s="253"/>
      <c r="E60" s="252"/>
      <c r="F60" s="253"/>
      <c r="G60" s="255">
        <f>SUM(G53:G59)</f>
        <v>135624.31339999998</v>
      </c>
      <c r="H60" s="256">
        <f>G60/$G$263</f>
        <v>8.4529096925577876E-2</v>
      </c>
      <c r="I60" s="187"/>
      <c r="J60" s="187"/>
      <c r="K60" s="18"/>
    </row>
    <row r="61" spans="1:11" s="18" customFormat="1" x14ac:dyDescent="0.25">
      <c r="A61" s="251"/>
      <c r="B61" s="252"/>
      <c r="C61" s="253"/>
      <c r="D61" s="253"/>
      <c r="E61" s="252"/>
      <c r="F61" s="253"/>
      <c r="G61" s="253"/>
      <c r="H61" s="254"/>
      <c r="I61" s="187"/>
      <c r="J61" s="187"/>
      <c r="K61" s="19"/>
    </row>
    <row r="62" spans="1:11" s="19" customFormat="1" x14ac:dyDescent="0.25">
      <c r="A62" s="251" t="s">
        <v>126</v>
      </c>
      <c r="B62" s="252"/>
      <c r="C62" s="255" t="s">
        <v>458</v>
      </c>
      <c r="D62" s="253"/>
      <c r="E62" s="252"/>
      <c r="F62" s="253"/>
      <c r="G62" s="255"/>
      <c r="H62" s="257"/>
      <c r="I62" s="187"/>
      <c r="J62" s="187"/>
      <c r="K62" s="18"/>
    </row>
    <row r="63" spans="1:11" s="19" customFormat="1" x14ac:dyDescent="0.25">
      <c r="A63" s="251" t="s">
        <v>128</v>
      </c>
      <c r="B63" s="287" t="s">
        <v>464</v>
      </c>
      <c r="C63" s="258" t="s">
        <v>459</v>
      </c>
      <c r="D63" s="253">
        <v>8.3000000000000007</v>
      </c>
      <c r="E63" s="252" t="s">
        <v>16</v>
      </c>
      <c r="F63" s="253">
        <f>491.84+94.67</f>
        <v>586.51</v>
      </c>
      <c r="G63" s="253">
        <f t="shared" ref="G63:G65" si="6">D63*F63</f>
        <v>4868.0330000000004</v>
      </c>
      <c r="H63" s="254"/>
      <c r="I63" s="187"/>
      <c r="J63" s="187"/>
      <c r="K63" s="18"/>
    </row>
    <row r="64" spans="1:11" s="19" customFormat="1" x14ac:dyDescent="0.25">
      <c r="A64" s="251" t="s">
        <v>131</v>
      </c>
      <c r="B64" s="252" t="s">
        <v>90</v>
      </c>
      <c r="C64" s="258" t="s">
        <v>91</v>
      </c>
      <c r="D64" s="253">
        <v>14.91</v>
      </c>
      <c r="E64" s="252" t="s">
        <v>16</v>
      </c>
      <c r="F64" s="253">
        <f>388.78+22.58</f>
        <v>411.35999999999996</v>
      </c>
      <c r="G64" s="253">
        <f t="shared" si="6"/>
        <v>6133.3775999999998</v>
      </c>
      <c r="H64" s="257"/>
      <c r="I64" s="187"/>
      <c r="J64" s="187"/>
      <c r="K64" s="18"/>
    </row>
    <row r="65" spans="1:11" s="19" customFormat="1" x14ac:dyDescent="0.25">
      <c r="A65" s="251" t="s">
        <v>136</v>
      </c>
      <c r="B65" s="252" t="s">
        <v>92</v>
      </c>
      <c r="C65" s="258" t="s">
        <v>462</v>
      </c>
      <c r="D65" s="253">
        <v>10.8</v>
      </c>
      <c r="E65" s="252" t="s">
        <v>16</v>
      </c>
      <c r="F65" s="253">
        <f>818.18+47.52</f>
        <v>865.69999999999993</v>
      </c>
      <c r="G65" s="253">
        <f t="shared" si="6"/>
        <v>9349.56</v>
      </c>
      <c r="H65" s="257"/>
      <c r="I65" s="187"/>
      <c r="J65" s="187"/>
      <c r="K65" s="18"/>
    </row>
    <row r="66" spans="1:11" s="19" customFormat="1" x14ac:dyDescent="0.25">
      <c r="A66" s="251" t="s">
        <v>460</v>
      </c>
      <c r="B66" s="252" t="s">
        <v>93</v>
      </c>
      <c r="C66" s="258" t="s">
        <v>469</v>
      </c>
      <c r="D66" s="253">
        <v>16.600000000000001</v>
      </c>
      <c r="E66" s="252" t="s">
        <v>38</v>
      </c>
      <c r="F66" s="253">
        <f>108.03+6.27</f>
        <v>114.3</v>
      </c>
      <c r="G66" s="258">
        <f t="shared" ref="G66:G67" si="7">D66*F66</f>
        <v>1897.38</v>
      </c>
      <c r="H66" s="257"/>
      <c r="I66" s="187"/>
      <c r="J66" s="187"/>
      <c r="K66" s="18"/>
    </row>
    <row r="67" spans="1:11" s="19" customFormat="1" x14ac:dyDescent="0.25">
      <c r="A67" s="251" t="s">
        <v>461</v>
      </c>
      <c r="B67" s="268">
        <v>96002</v>
      </c>
      <c r="C67" s="253" t="s">
        <v>857</v>
      </c>
      <c r="D67" s="253">
        <f>Quantitativo!H207</f>
        <v>172.29999999999998</v>
      </c>
      <c r="E67" s="252" t="s">
        <v>16</v>
      </c>
      <c r="F67" s="253">
        <v>258.3</v>
      </c>
      <c r="G67" s="258">
        <f t="shared" si="7"/>
        <v>44505.09</v>
      </c>
      <c r="H67" s="254"/>
      <c r="I67" s="187"/>
      <c r="J67" s="187"/>
      <c r="K67" s="18"/>
    </row>
    <row r="68" spans="1:11" s="19" customFormat="1" x14ac:dyDescent="0.25">
      <c r="A68" s="251"/>
      <c r="B68" s="252"/>
      <c r="C68" s="255" t="s">
        <v>137</v>
      </c>
      <c r="D68" s="253"/>
      <c r="E68" s="252"/>
      <c r="F68" s="253"/>
      <c r="G68" s="255">
        <f>SUM(G62:G66)</f>
        <v>22248.350600000002</v>
      </c>
      <c r="H68" s="256">
        <f>G68/$G$263</f>
        <v>1.3866488516369803E-2</v>
      </c>
      <c r="I68" s="187"/>
      <c r="J68" s="187"/>
      <c r="K68" s="18"/>
    </row>
    <row r="69" spans="1:11" s="18" customFormat="1" x14ac:dyDescent="0.25">
      <c r="A69" s="251"/>
      <c r="B69" s="252"/>
      <c r="C69" s="253"/>
      <c r="D69" s="253"/>
      <c r="E69" s="252"/>
      <c r="F69" s="253"/>
      <c r="G69" s="253"/>
      <c r="H69" s="254"/>
      <c r="I69" s="187"/>
      <c r="J69" s="187"/>
      <c r="K69" s="19"/>
    </row>
    <row r="70" spans="1:11" s="19" customFormat="1" x14ac:dyDescent="0.25">
      <c r="A70" s="251" t="s">
        <v>138</v>
      </c>
      <c r="B70" s="252"/>
      <c r="C70" s="255" t="s">
        <v>127</v>
      </c>
      <c r="D70" s="253"/>
      <c r="E70" s="252"/>
      <c r="F70" s="253"/>
      <c r="G70" s="255"/>
      <c r="H70" s="257"/>
      <c r="I70" s="187"/>
      <c r="J70" s="187"/>
      <c r="K70" s="18"/>
    </row>
    <row r="71" spans="1:11" s="18" customFormat="1" x14ac:dyDescent="0.25">
      <c r="A71" s="251" t="s">
        <v>139</v>
      </c>
      <c r="B71" s="252" t="s">
        <v>129</v>
      </c>
      <c r="C71" s="253" t="s">
        <v>130</v>
      </c>
      <c r="D71" s="253">
        <f>Quantitativo!H211</f>
        <v>1695.4624999999999</v>
      </c>
      <c r="E71" s="252" t="s">
        <v>16</v>
      </c>
      <c r="F71" s="253">
        <v>2.4</v>
      </c>
      <c r="G71" s="253">
        <f t="shared" ref="G71:G76" si="8">D71*F71</f>
        <v>4069.1099999999997</v>
      </c>
      <c r="H71" s="254"/>
      <c r="I71" s="187"/>
      <c r="J71" s="187"/>
    </row>
    <row r="72" spans="1:11" s="18" customFormat="1" x14ac:dyDescent="0.25">
      <c r="A72" s="251" t="s">
        <v>142</v>
      </c>
      <c r="B72" s="252" t="s">
        <v>472</v>
      </c>
      <c r="C72" s="253" t="s">
        <v>471</v>
      </c>
      <c r="D72" s="253">
        <f>Quantitativo!H213</f>
        <v>110.65</v>
      </c>
      <c r="E72" s="252" t="s">
        <v>16</v>
      </c>
      <c r="F72" s="253">
        <f>2.79</f>
        <v>2.79</v>
      </c>
      <c r="G72" s="253">
        <f t="shared" si="8"/>
        <v>308.71350000000001</v>
      </c>
      <c r="H72" s="254"/>
      <c r="I72" s="187"/>
      <c r="J72" s="187"/>
    </row>
    <row r="73" spans="1:11" s="18" customFormat="1" x14ac:dyDescent="0.25">
      <c r="A73" s="251" t="s">
        <v>143</v>
      </c>
      <c r="B73" s="252" t="s">
        <v>132</v>
      </c>
      <c r="C73" s="253" t="s">
        <v>133</v>
      </c>
      <c r="D73" s="253">
        <f>Quantitativo!H215</f>
        <v>110.65</v>
      </c>
      <c r="E73" s="252" t="s">
        <v>16</v>
      </c>
      <c r="F73" s="253">
        <v>15.51</v>
      </c>
      <c r="G73" s="253">
        <f t="shared" si="8"/>
        <v>1716.1815000000001</v>
      </c>
      <c r="H73" s="254"/>
      <c r="I73" s="187"/>
      <c r="J73" s="187"/>
      <c r="K73" s="19"/>
    </row>
    <row r="74" spans="1:11" s="18" customFormat="1" x14ac:dyDescent="0.25">
      <c r="A74" s="251" t="s">
        <v>473</v>
      </c>
      <c r="B74" s="252" t="s">
        <v>134</v>
      </c>
      <c r="C74" s="253" t="s">
        <v>135</v>
      </c>
      <c r="D74" s="253">
        <f>Quantitativo!H217</f>
        <v>1695.4624999999999</v>
      </c>
      <c r="E74" s="252" t="s">
        <v>16</v>
      </c>
      <c r="F74" s="253">
        <v>13.76</v>
      </c>
      <c r="G74" s="253">
        <f t="shared" si="8"/>
        <v>23329.563999999998</v>
      </c>
      <c r="H74" s="254"/>
      <c r="I74" s="187"/>
      <c r="J74" s="187"/>
      <c r="K74" s="19"/>
    </row>
    <row r="75" spans="1:11" s="18" customFormat="1" x14ac:dyDescent="0.25">
      <c r="A75" s="251" t="s">
        <v>474</v>
      </c>
      <c r="B75" s="252" t="s">
        <v>476</v>
      </c>
      <c r="C75" s="253" t="s">
        <v>477</v>
      </c>
      <c r="D75" s="253">
        <f>Quantitativo!H221</f>
        <v>44.730000000000004</v>
      </c>
      <c r="E75" s="252" t="s">
        <v>16</v>
      </c>
      <c r="F75" s="253">
        <f>28.29</f>
        <v>28.29</v>
      </c>
      <c r="G75" s="253">
        <f t="shared" si="8"/>
        <v>1265.4117000000001</v>
      </c>
      <c r="H75" s="254"/>
      <c r="I75" s="187"/>
      <c r="J75" s="187"/>
      <c r="K75" s="19"/>
    </row>
    <row r="76" spans="1:11" s="18" customFormat="1" x14ac:dyDescent="0.25">
      <c r="A76" s="251" t="s">
        <v>475</v>
      </c>
      <c r="B76" s="252" t="s">
        <v>485</v>
      </c>
      <c r="C76" s="253" t="s">
        <v>478</v>
      </c>
      <c r="D76" s="253">
        <f>Quantitativo!H223</f>
        <v>298.56199999999995</v>
      </c>
      <c r="E76" s="252" t="s">
        <v>16</v>
      </c>
      <c r="F76" s="253">
        <f>22.01+4.24</f>
        <v>26.25</v>
      </c>
      <c r="G76" s="253">
        <f t="shared" si="8"/>
        <v>7837.2524999999987</v>
      </c>
      <c r="H76" s="254"/>
      <c r="I76" s="187"/>
      <c r="J76" s="187"/>
      <c r="K76" s="19"/>
    </row>
    <row r="77" spans="1:11" s="19" customFormat="1" x14ac:dyDescent="0.25">
      <c r="A77" s="251"/>
      <c r="B77" s="252"/>
      <c r="C77" s="255" t="s">
        <v>144</v>
      </c>
      <c r="D77" s="253"/>
      <c r="E77" s="252"/>
      <c r="F77" s="253"/>
      <c r="G77" s="255">
        <f>SUM(G71:G76)</f>
        <v>38526.233199999995</v>
      </c>
      <c r="H77" s="256">
        <f>G77/$G$263</f>
        <v>2.4011828105890462E-2</v>
      </c>
      <c r="I77" s="187"/>
      <c r="J77" s="187"/>
      <c r="K77" s="18"/>
    </row>
    <row r="78" spans="1:11" s="18" customFormat="1" x14ac:dyDescent="0.25">
      <c r="A78" s="251"/>
      <c r="B78" s="252"/>
      <c r="C78" s="253"/>
      <c r="D78" s="253"/>
      <c r="E78" s="252"/>
      <c r="F78" s="253"/>
      <c r="G78" s="253"/>
      <c r="H78" s="254"/>
      <c r="I78" s="187"/>
      <c r="J78" s="187"/>
      <c r="K78" s="19"/>
    </row>
    <row r="79" spans="1:11" s="19" customFormat="1" x14ac:dyDescent="0.25">
      <c r="A79" s="251" t="s">
        <v>145</v>
      </c>
      <c r="B79" s="252"/>
      <c r="C79" s="255" t="s">
        <v>498</v>
      </c>
      <c r="D79" s="253"/>
      <c r="E79" s="252"/>
      <c r="F79" s="253"/>
      <c r="G79" s="255"/>
      <c r="H79" s="257"/>
      <c r="I79" s="187"/>
      <c r="J79" s="187"/>
      <c r="K79" s="18"/>
    </row>
    <row r="80" spans="1:11" s="19" customFormat="1" x14ac:dyDescent="0.25">
      <c r="A80" s="251" t="s">
        <v>492</v>
      </c>
      <c r="B80" s="252" t="s">
        <v>499</v>
      </c>
      <c r="C80" s="258" t="s">
        <v>500</v>
      </c>
      <c r="D80" s="253">
        <f>Quantitativo!H227</f>
        <v>296.54999999999995</v>
      </c>
      <c r="E80" s="252" t="s">
        <v>16</v>
      </c>
      <c r="F80" s="253">
        <f>31.58+1.83</f>
        <v>33.409999999999997</v>
      </c>
      <c r="G80" s="253">
        <f t="shared" ref="G80:G88" si="9">D80*F80</f>
        <v>9907.735499999997</v>
      </c>
      <c r="H80" s="254"/>
      <c r="I80" s="187"/>
      <c r="J80" s="187"/>
      <c r="K80" s="18"/>
    </row>
    <row r="81" spans="1:11" s="19" customFormat="1" x14ac:dyDescent="0.25">
      <c r="A81" s="251" t="s">
        <v>493</v>
      </c>
      <c r="B81" s="252" t="s">
        <v>140</v>
      </c>
      <c r="C81" s="258" t="s">
        <v>141</v>
      </c>
      <c r="D81" s="253">
        <f>Quantitativo!H229</f>
        <v>296.54999999999995</v>
      </c>
      <c r="E81" s="252" t="s">
        <v>16</v>
      </c>
      <c r="F81" s="253">
        <f>24.17+1.4</f>
        <v>25.57</v>
      </c>
      <c r="G81" s="253">
        <f t="shared" si="9"/>
        <v>7582.7834999999986</v>
      </c>
      <c r="H81" s="257"/>
      <c r="I81" s="187"/>
      <c r="J81" s="187"/>
      <c r="K81" s="18"/>
    </row>
    <row r="82" spans="1:11" s="19" customFormat="1" x14ac:dyDescent="0.25">
      <c r="A82" s="251" t="s">
        <v>494</v>
      </c>
      <c r="B82" s="252" t="s">
        <v>501</v>
      </c>
      <c r="C82" s="258" t="s">
        <v>502</v>
      </c>
      <c r="D82" s="253">
        <f>Quantitativo!H231</f>
        <v>113.56</v>
      </c>
      <c r="E82" s="252" t="s">
        <v>16</v>
      </c>
      <c r="F82" s="253">
        <f>65.75+3.82</f>
        <v>69.569999999999993</v>
      </c>
      <c r="G82" s="253">
        <f t="shared" si="9"/>
        <v>7900.3691999999992</v>
      </c>
      <c r="H82" s="257"/>
      <c r="I82" s="187"/>
      <c r="J82" s="187"/>
      <c r="K82" s="18"/>
    </row>
    <row r="83" spans="1:11" s="19" customFormat="1" x14ac:dyDescent="0.25">
      <c r="A83" s="251" t="s">
        <v>495</v>
      </c>
      <c r="B83" s="252" t="s">
        <v>503</v>
      </c>
      <c r="C83" s="258" t="s">
        <v>897</v>
      </c>
      <c r="D83" s="253">
        <f>Quantitativo!H233</f>
        <v>1090.3</v>
      </c>
      <c r="E83" s="252" t="s">
        <v>16</v>
      </c>
      <c r="F83" s="253">
        <f>19.35+1.12</f>
        <v>20.470000000000002</v>
      </c>
      <c r="G83" s="253">
        <f t="shared" si="9"/>
        <v>22318.441000000003</v>
      </c>
      <c r="H83" s="257"/>
      <c r="I83" s="187"/>
      <c r="J83" s="187"/>
      <c r="K83" s="18"/>
    </row>
    <row r="84" spans="1:11" s="19" customFormat="1" x14ac:dyDescent="0.25">
      <c r="A84" s="251" t="s">
        <v>496</v>
      </c>
      <c r="B84" s="252" t="s">
        <v>504</v>
      </c>
      <c r="C84" s="258" t="s">
        <v>898</v>
      </c>
      <c r="D84" s="253">
        <f>Quantitativo!H234</f>
        <v>54.515000000000001</v>
      </c>
      <c r="E84" s="252" t="s">
        <v>42</v>
      </c>
      <c r="F84" s="253">
        <f>213.25+12.39</f>
        <v>225.64</v>
      </c>
      <c r="G84" s="258">
        <f t="shared" si="9"/>
        <v>12300.764599999999</v>
      </c>
      <c r="H84" s="257"/>
      <c r="I84" s="187"/>
      <c r="J84" s="187"/>
      <c r="K84" s="18"/>
    </row>
    <row r="85" spans="1:11" s="19" customFormat="1" x14ac:dyDescent="0.25">
      <c r="A85" s="251" t="s">
        <v>497</v>
      </c>
      <c r="B85" s="252" t="s">
        <v>506</v>
      </c>
      <c r="C85" s="258" t="s">
        <v>899</v>
      </c>
      <c r="D85" s="253">
        <f>Quantitativo!H236</f>
        <v>1206.6300000000001</v>
      </c>
      <c r="E85" s="252" t="s">
        <v>510</v>
      </c>
      <c r="F85" s="253">
        <f>9.41+0.55</f>
        <v>9.9600000000000009</v>
      </c>
      <c r="G85" s="258">
        <f t="shared" si="9"/>
        <v>12018.034800000001</v>
      </c>
      <c r="H85" s="257"/>
      <c r="I85" s="187"/>
      <c r="J85" s="187"/>
      <c r="K85" s="18"/>
    </row>
    <row r="86" spans="1:11" s="19" customFormat="1" x14ac:dyDescent="0.25">
      <c r="A86" s="251" t="s">
        <v>505</v>
      </c>
      <c r="B86" s="259" t="s">
        <v>507</v>
      </c>
      <c r="C86" s="258" t="s">
        <v>900</v>
      </c>
      <c r="D86" s="253">
        <f>Quantitativo!H238</f>
        <v>109.03</v>
      </c>
      <c r="E86" s="252" t="s">
        <v>42</v>
      </c>
      <c r="F86" s="253">
        <f>604.8+35.13</f>
        <v>639.92999999999995</v>
      </c>
      <c r="G86" s="258">
        <f t="shared" si="9"/>
        <v>69771.567899999995</v>
      </c>
      <c r="H86" s="257"/>
      <c r="I86" s="187"/>
      <c r="J86" s="187"/>
      <c r="K86" s="18"/>
    </row>
    <row r="87" spans="1:11" s="19" customFormat="1" x14ac:dyDescent="0.25">
      <c r="A87" s="251" t="s">
        <v>508</v>
      </c>
      <c r="B87" s="259">
        <v>96003</v>
      </c>
      <c r="C87" s="258" t="s">
        <v>901</v>
      </c>
      <c r="D87" s="253">
        <f>Quantitativo!H240</f>
        <v>127.09999999999991</v>
      </c>
      <c r="E87" s="252" t="s">
        <v>16</v>
      </c>
      <c r="F87" s="253">
        <f>8+0.54</f>
        <v>8.5399999999999991</v>
      </c>
      <c r="G87" s="258">
        <f t="shared" ref="G87" si="10">D87*F87</f>
        <v>1085.4339999999991</v>
      </c>
      <c r="H87" s="257"/>
      <c r="I87" s="187"/>
      <c r="J87" s="187"/>
      <c r="K87" s="18"/>
    </row>
    <row r="88" spans="1:11" s="19" customFormat="1" x14ac:dyDescent="0.25">
      <c r="A88" s="251" t="s">
        <v>845</v>
      </c>
      <c r="B88" s="259">
        <v>96004</v>
      </c>
      <c r="C88" s="258" t="s">
        <v>902</v>
      </c>
      <c r="D88" s="253">
        <f>Quantitativo!H242</f>
        <v>963.2</v>
      </c>
      <c r="E88" s="252" t="s">
        <v>16</v>
      </c>
      <c r="F88" s="253">
        <v>190</v>
      </c>
      <c r="G88" s="258">
        <f t="shared" si="9"/>
        <v>183008</v>
      </c>
      <c r="H88" s="257"/>
      <c r="I88" s="187"/>
      <c r="J88" s="187"/>
      <c r="K88" s="18"/>
    </row>
    <row r="89" spans="1:11" s="19" customFormat="1" x14ac:dyDescent="0.25">
      <c r="A89" s="251"/>
      <c r="B89" s="252"/>
      <c r="C89" s="255" t="s">
        <v>509</v>
      </c>
      <c r="D89" s="253"/>
      <c r="E89" s="252"/>
      <c r="F89" s="253"/>
      <c r="G89" s="255">
        <f>SUM(G79:G88)</f>
        <v>325893.13049999997</v>
      </c>
      <c r="H89" s="256">
        <f>G89/$G$263</f>
        <v>0.20311588184168827</v>
      </c>
      <c r="I89" s="187"/>
      <c r="J89" s="187"/>
      <c r="K89" s="18"/>
    </row>
    <row r="90" spans="1:11" s="18" customFormat="1" x14ac:dyDescent="0.25">
      <c r="A90" s="251"/>
      <c r="B90" s="252"/>
      <c r="C90" s="253"/>
      <c r="D90" s="253"/>
      <c r="E90" s="252"/>
      <c r="F90" s="253"/>
      <c r="G90" s="253"/>
      <c r="H90" s="254"/>
      <c r="I90" s="187"/>
      <c r="J90" s="187"/>
      <c r="K90" s="19"/>
    </row>
    <row r="91" spans="1:11" s="19" customFormat="1" x14ac:dyDescent="0.25">
      <c r="A91" s="251" t="s">
        <v>152</v>
      </c>
      <c r="B91" s="252"/>
      <c r="C91" s="255" t="s">
        <v>146</v>
      </c>
      <c r="D91" s="253"/>
      <c r="E91" s="252"/>
      <c r="F91" s="253"/>
      <c r="G91" s="255"/>
      <c r="H91" s="257"/>
      <c r="I91" s="187"/>
      <c r="J91" s="187"/>
      <c r="K91" s="18"/>
    </row>
    <row r="92" spans="1:11" s="19" customFormat="1" x14ac:dyDescent="0.25">
      <c r="A92" s="251" t="s">
        <v>650</v>
      </c>
      <c r="B92" s="252" t="s">
        <v>816</v>
      </c>
      <c r="C92" s="258" t="s">
        <v>697</v>
      </c>
      <c r="D92" s="253">
        <v>700</v>
      </c>
      <c r="E92" s="252" t="s">
        <v>38</v>
      </c>
      <c r="F92" s="253">
        <v>4.88</v>
      </c>
      <c r="G92" s="258">
        <f>F92*D92</f>
        <v>3416</v>
      </c>
      <c r="H92" s="257"/>
      <c r="I92" s="187"/>
      <c r="J92" s="187"/>
      <c r="K92" s="18"/>
    </row>
    <row r="93" spans="1:11" s="19" customFormat="1" x14ac:dyDescent="0.25">
      <c r="A93" s="251" t="s">
        <v>651</v>
      </c>
      <c r="B93" s="252" t="s">
        <v>817</v>
      </c>
      <c r="C93" s="258" t="s">
        <v>698</v>
      </c>
      <c r="D93" s="253">
        <v>40</v>
      </c>
      <c r="E93" s="252" t="s">
        <v>38</v>
      </c>
      <c r="F93" s="253">
        <v>15.42</v>
      </c>
      <c r="G93" s="258">
        <f>F93*D93</f>
        <v>616.79999999999995</v>
      </c>
      <c r="H93" s="257"/>
      <c r="I93" s="187"/>
      <c r="J93" s="187"/>
      <c r="K93" s="18"/>
    </row>
    <row r="94" spans="1:11" s="19" customFormat="1" x14ac:dyDescent="0.25">
      <c r="A94" s="251" t="s">
        <v>652</v>
      </c>
      <c r="B94" s="252" t="s">
        <v>818</v>
      </c>
      <c r="C94" s="258" t="s">
        <v>695</v>
      </c>
      <c r="D94" s="253">
        <v>10</v>
      </c>
      <c r="E94" s="252" t="s">
        <v>20</v>
      </c>
      <c r="F94" s="253">
        <v>4.01</v>
      </c>
      <c r="G94" s="258">
        <f>F94*D94</f>
        <v>40.099999999999994</v>
      </c>
      <c r="H94" s="257"/>
      <c r="I94" s="187"/>
      <c r="J94" s="187"/>
      <c r="K94" s="18"/>
    </row>
    <row r="95" spans="1:11" s="19" customFormat="1" x14ac:dyDescent="0.25">
      <c r="A95" s="251" t="s">
        <v>653</v>
      </c>
      <c r="B95" s="252" t="s">
        <v>862</v>
      </c>
      <c r="C95" s="258" t="s">
        <v>863</v>
      </c>
      <c r="D95" s="253">
        <v>1</v>
      </c>
      <c r="E95" s="252" t="s">
        <v>20</v>
      </c>
      <c r="F95" s="253">
        <v>14.53</v>
      </c>
      <c r="G95" s="258">
        <f t="shared" ref="G95:G137" si="11">F95*D95</f>
        <v>14.53</v>
      </c>
      <c r="H95" s="257"/>
      <c r="I95" s="187"/>
      <c r="J95" s="187"/>
      <c r="K95" s="18"/>
    </row>
    <row r="96" spans="1:11" s="19" customFormat="1" x14ac:dyDescent="0.25">
      <c r="A96" s="251" t="s">
        <v>654</v>
      </c>
      <c r="B96" s="297">
        <v>96005</v>
      </c>
      <c r="C96" s="258" t="s">
        <v>864</v>
      </c>
      <c r="D96" s="253">
        <v>17</v>
      </c>
      <c r="E96" s="252" t="s">
        <v>20</v>
      </c>
      <c r="F96" s="253">
        <v>16.8</v>
      </c>
      <c r="G96" s="258">
        <f t="shared" si="11"/>
        <v>285.60000000000002</v>
      </c>
      <c r="H96" s="257"/>
      <c r="I96" s="187"/>
      <c r="J96" s="187"/>
      <c r="K96" s="18"/>
    </row>
    <row r="97" spans="1:11" s="19" customFormat="1" x14ac:dyDescent="0.25">
      <c r="A97" s="251" t="s">
        <v>655</v>
      </c>
      <c r="B97" s="297" t="s">
        <v>903</v>
      </c>
      <c r="C97" s="258" t="s">
        <v>865</v>
      </c>
      <c r="D97" s="253">
        <v>32</v>
      </c>
      <c r="E97" s="252" t="s">
        <v>20</v>
      </c>
      <c r="F97" s="253">
        <v>5.6</v>
      </c>
      <c r="G97" s="258">
        <f t="shared" si="11"/>
        <v>179.2</v>
      </c>
      <c r="H97" s="257"/>
      <c r="I97" s="187"/>
      <c r="J97" s="187"/>
      <c r="K97" s="18"/>
    </row>
    <row r="98" spans="1:11" s="19" customFormat="1" x14ac:dyDescent="0.25">
      <c r="A98" s="251" t="s">
        <v>656</v>
      </c>
      <c r="B98" s="297">
        <v>96006</v>
      </c>
      <c r="C98" s="258" t="s">
        <v>866</v>
      </c>
      <c r="D98" s="253">
        <v>36</v>
      </c>
      <c r="E98" s="252" t="s">
        <v>20</v>
      </c>
      <c r="F98" s="253">
        <v>5.6</v>
      </c>
      <c r="G98" s="258">
        <f t="shared" si="11"/>
        <v>201.6</v>
      </c>
      <c r="H98" s="257"/>
      <c r="I98" s="187"/>
      <c r="J98" s="187"/>
      <c r="K98" s="18"/>
    </row>
    <row r="99" spans="1:11" s="19" customFormat="1" x14ac:dyDescent="0.25">
      <c r="A99" s="251" t="s">
        <v>657</v>
      </c>
      <c r="B99" s="297" t="s">
        <v>904</v>
      </c>
      <c r="C99" s="258" t="s">
        <v>867</v>
      </c>
      <c r="D99" s="253">
        <v>5</v>
      </c>
      <c r="E99" s="252" t="s">
        <v>20</v>
      </c>
      <c r="F99" s="253">
        <v>8.4</v>
      </c>
      <c r="G99" s="258">
        <f t="shared" si="11"/>
        <v>42</v>
      </c>
      <c r="H99" s="257"/>
      <c r="I99" s="187"/>
      <c r="J99" s="187"/>
      <c r="K99" s="18"/>
    </row>
    <row r="100" spans="1:11" s="19" customFormat="1" x14ac:dyDescent="0.25">
      <c r="A100" s="251" t="s">
        <v>658</v>
      </c>
      <c r="B100" s="297">
        <v>96007</v>
      </c>
      <c r="C100" s="258" t="s">
        <v>868</v>
      </c>
      <c r="D100" s="253">
        <v>35</v>
      </c>
      <c r="E100" s="252" t="s">
        <v>20</v>
      </c>
      <c r="F100" s="253">
        <v>49</v>
      </c>
      <c r="G100" s="258">
        <f t="shared" si="11"/>
        <v>1715</v>
      </c>
      <c r="H100" s="257"/>
      <c r="I100" s="187"/>
      <c r="J100" s="187"/>
      <c r="K100" s="18"/>
    </row>
    <row r="101" spans="1:11" s="19" customFormat="1" x14ac:dyDescent="0.25">
      <c r="A101" s="251" t="s">
        <v>659</v>
      </c>
      <c r="B101" s="297" t="s">
        <v>905</v>
      </c>
      <c r="C101" s="258" t="s">
        <v>696</v>
      </c>
      <c r="D101" s="253">
        <v>30</v>
      </c>
      <c r="E101" s="252" t="s">
        <v>20</v>
      </c>
      <c r="F101" s="253">
        <v>5.6</v>
      </c>
      <c r="G101" s="258">
        <f t="shared" si="11"/>
        <v>168</v>
      </c>
      <c r="H101" s="257"/>
      <c r="I101" s="187"/>
      <c r="J101" s="187"/>
      <c r="K101" s="18"/>
    </row>
    <row r="102" spans="1:11" s="19" customFormat="1" x14ac:dyDescent="0.25">
      <c r="A102" s="251" t="s">
        <v>660</v>
      </c>
      <c r="B102" s="252" t="s">
        <v>869</v>
      </c>
      <c r="C102" s="258" t="s">
        <v>870</v>
      </c>
      <c r="D102" s="253">
        <v>100</v>
      </c>
      <c r="E102" s="252" t="s">
        <v>20</v>
      </c>
      <c r="F102" s="253">
        <v>5.88</v>
      </c>
      <c r="G102" s="258">
        <f t="shared" si="11"/>
        <v>588</v>
      </c>
      <c r="H102" s="257"/>
      <c r="I102" s="187"/>
      <c r="J102" s="187"/>
      <c r="K102" s="18"/>
    </row>
    <row r="103" spans="1:11" s="19" customFormat="1" x14ac:dyDescent="0.25">
      <c r="A103" s="251" t="s">
        <v>661</v>
      </c>
      <c r="B103" s="297" t="s">
        <v>906</v>
      </c>
      <c r="C103" s="258" t="s">
        <v>699</v>
      </c>
      <c r="D103" s="253">
        <v>1</v>
      </c>
      <c r="E103" s="252" t="s">
        <v>20</v>
      </c>
      <c r="F103" s="253">
        <v>168</v>
      </c>
      <c r="G103" s="258">
        <f t="shared" si="11"/>
        <v>168</v>
      </c>
      <c r="H103" s="257"/>
      <c r="I103" s="187"/>
      <c r="J103" s="187"/>
      <c r="K103" s="18"/>
    </row>
    <row r="104" spans="1:11" s="19" customFormat="1" x14ac:dyDescent="0.25">
      <c r="A104" s="251" t="s">
        <v>662</v>
      </c>
      <c r="B104" s="297" t="s">
        <v>907</v>
      </c>
      <c r="C104" s="258" t="s">
        <v>700</v>
      </c>
      <c r="D104" s="253">
        <v>2</v>
      </c>
      <c r="E104" s="252" t="s">
        <v>20</v>
      </c>
      <c r="F104" s="253">
        <v>11.2</v>
      </c>
      <c r="G104" s="258">
        <f t="shared" si="11"/>
        <v>22.4</v>
      </c>
      <c r="H104" s="257"/>
      <c r="I104" s="187"/>
      <c r="J104" s="187"/>
      <c r="K104" s="18"/>
    </row>
    <row r="105" spans="1:11" s="19" customFormat="1" x14ac:dyDescent="0.25">
      <c r="A105" s="251" t="s">
        <v>663</v>
      </c>
      <c r="B105" s="297" t="s">
        <v>908</v>
      </c>
      <c r="C105" s="258" t="s">
        <v>871</v>
      </c>
      <c r="D105" s="253">
        <v>480</v>
      </c>
      <c r="E105" s="252" t="s">
        <v>20</v>
      </c>
      <c r="F105" s="253">
        <v>4.2</v>
      </c>
      <c r="G105" s="258">
        <f t="shared" si="11"/>
        <v>2016</v>
      </c>
      <c r="H105" s="257"/>
      <c r="I105" s="187"/>
      <c r="J105" s="187"/>
      <c r="K105" s="18"/>
    </row>
    <row r="106" spans="1:11" s="19" customFormat="1" x14ac:dyDescent="0.25">
      <c r="A106" s="251" t="s">
        <v>664</v>
      </c>
      <c r="B106" s="297" t="s">
        <v>909</v>
      </c>
      <c r="C106" s="258" t="s">
        <v>701</v>
      </c>
      <c r="D106" s="253">
        <v>240</v>
      </c>
      <c r="E106" s="252" t="s">
        <v>38</v>
      </c>
      <c r="F106" s="253">
        <v>4.2</v>
      </c>
      <c r="G106" s="258">
        <f t="shared" si="11"/>
        <v>1008</v>
      </c>
      <c r="H106" s="257"/>
      <c r="I106" s="187"/>
      <c r="J106" s="187"/>
      <c r="K106" s="18"/>
    </row>
    <row r="107" spans="1:11" s="19" customFormat="1" x14ac:dyDescent="0.25">
      <c r="A107" s="251" t="s">
        <v>665</v>
      </c>
      <c r="B107" s="297" t="s">
        <v>910</v>
      </c>
      <c r="C107" s="258" t="s">
        <v>702</v>
      </c>
      <c r="D107" s="253">
        <v>39</v>
      </c>
      <c r="E107" s="252" t="s">
        <v>20</v>
      </c>
      <c r="F107" s="253">
        <v>7</v>
      </c>
      <c r="G107" s="258">
        <f t="shared" si="11"/>
        <v>273</v>
      </c>
      <c r="H107" s="257"/>
      <c r="I107" s="187"/>
      <c r="J107" s="187"/>
      <c r="K107" s="18"/>
    </row>
    <row r="108" spans="1:11" s="19" customFormat="1" x14ac:dyDescent="0.25">
      <c r="A108" s="251" t="s">
        <v>666</v>
      </c>
      <c r="B108" s="297" t="s">
        <v>911</v>
      </c>
      <c r="C108" s="258" t="s">
        <v>872</v>
      </c>
      <c r="D108" s="253">
        <v>4</v>
      </c>
      <c r="E108" s="252" t="s">
        <v>20</v>
      </c>
      <c r="F108" s="253">
        <v>11.2</v>
      </c>
      <c r="G108" s="258">
        <f t="shared" si="11"/>
        <v>44.8</v>
      </c>
      <c r="H108" s="257"/>
      <c r="I108" s="187"/>
      <c r="J108" s="187"/>
      <c r="K108" s="18"/>
    </row>
    <row r="109" spans="1:11" s="19" customFormat="1" x14ac:dyDescent="0.25">
      <c r="A109" s="251" t="s">
        <v>667</v>
      </c>
      <c r="B109" s="297" t="s">
        <v>912</v>
      </c>
      <c r="C109" s="258" t="s">
        <v>873</v>
      </c>
      <c r="D109" s="253">
        <v>4</v>
      </c>
      <c r="E109" s="252" t="s">
        <v>20</v>
      </c>
      <c r="F109" s="253">
        <v>7</v>
      </c>
      <c r="G109" s="258">
        <f t="shared" si="11"/>
        <v>28</v>
      </c>
      <c r="H109" s="257"/>
      <c r="I109" s="187"/>
      <c r="J109" s="187"/>
      <c r="K109" s="18"/>
    </row>
    <row r="110" spans="1:11" s="19" customFormat="1" x14ac:dyDescent="0.25">
      <c r="A110" s="251" t="s">
        <v>668</v>
      </c>
      <c r="B110" s="297" t="s">
        <v>913</v>
      </c>
      <c r="C110" s="258" t="s">
        <v>703</v>
      </c>
      <c r="D110" s="253">
        <v>120</v>
      </c>
      <c r="E110" s="252" t="s">
        <v>20</v>
      </c>
      <c r="F110" s="253">
        <v>8.4</v>
      </c>
      <c r="G110" s="258">
        <f t="shared" si="11"/>
        <v>1008</v>
      </c>
      <c r="H110" s="257"/>
      <c r="I110" s="187"/>
      <c r="J110" s="187"/>
      <c r="K110" s="18"/>
    </row>
    <row r="111" spans="1:11" s="19" customFormat="1" x14ac:dyDescent="0.25">
      <c r="A111" s="251" t="s">
        <v>669</v>
      </c>
      <c r="B111" s="252" t="s">
        <v>704</v>
      </c>
      <c r="C111" s="258" t="s">
        <v>874</v>
      </c>
      <c r="D111" s="253">
        <v>120</v>
      </c>
      <c r="E111" s="252" t="s">
        <v>38</v>
      </c>
      <c r="F111" s="253">
        <v>46.12</v>
      </c>
      <c r="G111" s="258">
        <f t="shared" si="11"/>
        <v>5534.4</v>
      </c>
      <c r="H111" s="257"/>
      <c r="I111" s="187"/>
      <c r="J111" s="187"/>
      <c r="K111" s="18"/>
    </row>
    <row r="112" spans="1:11" s="19" customFormat="1" x14ac:dyDescent="0.25">
      <c r="A112" s="251" t="s">
        <v>670</v>
      </c>
      <c r="B112" s="252" t="s">
        <v>819</v>
      </c>
      <c r="C112" s="258" t="s">
        <v>147</v>
      </c>
      <c r="D112" s="253">
        <v>300</v>
      </c>
      <c r="E112" s="252" t="s">
        <v>38</v>
      </c>
      <c r="F112" s="253">
        <v>20.97</v>
      </c>
      <c r="G112" s="258">
        <f t="shared" si="11"/>
        <v>6291</v>
      </c>
      <c r="H112" s="257"/>
      <c r="I112" s="187"/>
      <c r="J112" s="187"/>
      <c r="K112" s="18"/>
    </row>
    <row r="113" spans="1:11" s="19" customFormat="1" x14ac:dyDescent="0.25">
      <c r="A113" s="251" t="s">
        <v>671</v>
      </c>
      <c r="B113" s="252" t="s">
        <v>875</v>
      </c>
      <c r="C113" s="258" t="s">
        <v>705</v>
      </c>
      <c r="D113" s="253">
        <v>1800</v>
      </c>
      <c r="E113" s="252" t="s">
        <v>38</v>
      </c>
      <c r="F113" s="253">
        <v>3.91</v>
      </c>
      <c r="G113" s="258">
        <f t="shared" si="11"/>
        <v>7038</v>
      </c>
      <c r="H113" s="257"/>
      <c r="I113" s="187"/>
      <c r="J113" s="187"/>
      <c r="K113" s="18"/>
    </row>
    <row r="114" spans="1:11" s="19" customFormat="1" x14ac:dyDescent="0.25">
      <c r="A114" s="251" t="s">
        <v>672</v>
      </c>
      <c r="B114" s="297" t="s">
        <v>914</v>
      </c>
      <c r="C114" s="258" t="s">
        <v>876</v>
      </c>
      <c r="D114" s="253">
        <v>2000</v>
      </c>
      <c r="E114" s="252" t="s">
        <v>38</v>
      </c>
      <c r="F114" s="253">
        <v>7</v>
      </c>
      <c r="G114" s="258">
        <f t="shared" si="11"/>
        <v>14000</v>
      </c>
      <c r="H114" s="257"/>
      <c r="I114" s="187"/>
      <c r="J114" s="187"/>
      <c r="K114" s="18"/>
    </row>
    <row r="115" spans="1:11" s="19" customFormat="1" x14ac:dyDescent="0.25">
      <c r="A115" s="251" t="s">
        <v>673</v>
      </c>
      <c r="B115" s="297" t="s">
        <v>915</v>
      </c>
      <c r="C115" s="258" t="s">
        <v>706</v>
      </c>
      <c r="D115" s="253">
        <v>500</v>
      </c>
      <c r="E115" s="252" t="s">
        <v>38</v>
      </c>
      <c r="F115" s="253">
        <v>9.1</v>
      </c>
      <c r="G115" s="258">
        <f t="shared" si="11"/>
        <v>4550</v>
      </c>
      <c r="H115" s="257"/>
      <c r="I115" s="187"/>
      <c r="J115" s="187"/>
      <c r="K115" s="18"/>
    </row>
    <row r="116" spans="1:11" s="19" customFormat="1" x14ac:dyDescent="0.25">
      <c r="A116" s="251" t="s">
        <v>674</v>
      </c>
      <c r="B116" s="252" t="s">
        <v>877</v>
      </c>
      <c r="C116" s="258" t="s">
        <v>707</v>
      </c>
      <c r="D116" s="253">
        <v>18</v>
      </c>
      <c r="E116" s="252" t="s">
        <v>38</v>
      </c>
      <c r="F116" s="253">
        <v>14.81</v>
      </c>
      <c r="G116" s="258">
        <f t="shared" si="11"/>
        <v>266.58</v>
      </c>
      <c r="H116" s="257"/>
      <c r="I116" s="187"/>
      <c r="J116" s="187"/>
      <c r="K116" s="18"/>
    </row>
    <row r="117" spans="1:11" s="19" customFormat="1" x14ac:dyDescent="0.25">
      <c r="A117" s="251" t="s">
        <v>675</v>
      </c>
      <c r="B117" s="252" t="s">
        <v>820</v>
      </c>
      <c r="C117" s="258" t="s">
        <v>148</v>
      </c>
      <c r="D117" s="253">
        <v>47</v>
      </c>
      <c r="E117" s="252" t="s">
        <v>20</v>
      </c>
      <c r="F117" s="253">
        <v>11.46</v>
      </c>
      <c r="G117" s="258">
        <f t="shared" si="11"/>
        <v>538.62</v>
      </c>
      <c r="H117" s="257"/>
      <c r="I117" s="187"/>
      <c r="J117" s="187"/>
      <c r="K117" s="18"/>
    </row>
    <row r="118" spans="1:11" s="19" customFormat="1" x14ac:dyDescent="0.25">
      <c r="A118" s="251" t="s">
        <v>676</v>
      </c>
      <c r="B118" s="252" t="s">
        <v>821</v>
      </c>
      <c r="C118" s="258" t="s">
        <v>708</v>
      </c>
      <c r="D118" s="253">
        <v>27</v>
      </c>
      <c r="E118" s="252" t="s">
        <v>20</v>
      </c>
      <c r="F118" s="253">
        <v>11.72</v>
      </c>
      <c r="G118" s="258">
        <f t="shared" si="11"/>
        <v>316.44</v>
      </c>
      <c r="H118" s="257"/>
      <c r="I118" s="187"/>
      <c r="J118" s="187"/>
      <c r="K118" s="18"/>
    </row>
    <row r="119" spans="1:11" s="19" customFormat="1" x14ac:dyDescent="0.25">
      <c r="A119" s="251" t="s">
        <v>677</v>
      </c>
      <c r="B119" s="252" t="s">
        <v>878</v>
      </c>
      <c r="C119" s="258" t="s">
        <v>879</v>
      </c>
      <c r="D119" s="253">
        <v>3</v>
      </c>
      <c r="E119" s="252" t="s">
        <v>20</v>
      </c>
      <c r="F119" s="253">
        <v>1112.01</v>
      </c>
      <c r="G119" s="258">
        <f t="shared" si="11"/>
        <v>3336.0299999999997</v>
      </c>
      <c r="H119" s="257"/>
      <c r="I119" s="187"/>
      <c r="J119" s="187"/>
      <c r="K119" s="18"/>
    </row>
    <row r="120" spans="1:11" s="19" customFormat="1" x14ac:dyDescent="0.25">
      <c r="A120" s="251" t="s">
        <v>678</v>
      </c>
      <c r="B120" s="252" t="s">
        <v>880</v>
      </c>
      <c r="C120" s="258" t="s">
        <v>881</v>
      </c>
      <c r="D120" s="253">
        <v>1</v>
      </c>
      <c r="E120" s="252" t="s">
        <v>20</v>
      </c>
      <c r="F120" s="253">
        <v>1399.62</v>
      </c>
      <c r="G120" s="258">
        <f t="shared" si="11"/>
        <v>1399.62</v>
      </c>
      <c r="H120" s="257"/>
      <c r="I120" s="187"/>
      <c r="J120" s="187"/>
      <c r="K120" s="18"/>
    </row>
    <row r="121" spans="1:11" s="19" customFormat="1" x14ac:dyDescent="0.25">
      <c r="A121" s="251" t="s">
        <v>679</v>
      </c>
      <c r="B121" s="297" t="s">
        <v>916</v>
      </c>
      <c r="C121" s="258" t="s">
        <v>882</v>
      </c>
      <c r="D121" s="253">
        <v>1</v>
      </c>
      <c r="E121" s="252" t="s">
        <v>20</v>
      </c>
      <c r="F121" s="253">
        <v>420</v>
      </c>
      <c r="G121" s="258">
        <f t="shared" si="11"/>
        <v>420</v>
      </c>
      <c r="H121" s="257"/>
      <c r="I121" s="187"/>
      <c r="J121" s="187"/>
      <c r="K121" s="18"/>
    </row>
    <row r="122" spans="1:11" s="19" customFormat="1" x14ac:dyDescent="0.25">
      <c r="A122" s="251" t="s">
        <v>680</v>
      </c>
      <c r="B122" s="252" t="s">
        <v>822</v>
      </c>
      <c r="C122" s="258" t="s">
        <v>709</v>
      </c>
      <c r="D122" s="253">
        <v>1</v>
      </c>
      <c r="E122" s="252" t="s">
        <v>20</v>
      </c>
      <c r="F122" s="253">
        <v>151.36000000000001</v>
      </c>
      <c r="G122" s="258">
        <f t="shared" si="11"/>
        <v>151.36000000000001</v>
      </c>
      <c r="H122" s="257"/>
      <c r="I122" s="187"/>
      <c r="J122" s="187"/>
      <c r="K122" s="18"/>
    </row>
    <row r="123" spans="1:11" s="19" customFormat="1" x14ac:dyDescent="0.25">
      <c r="A123" s="251" t="s">
        <v>681</v>
      </c>
      <c r="B123" s="252" t="s">
        <v>889</v>
      </c>
      <c r="C123" s="258" t="s">
        <v>883</v>
      </c>
      <c r="D123" s="253">
        <v>8</v>
      </c>
      <c r="E123" s="252" t="s">
        <v>20</v>
      </c>
      <c r="F123" s="253">
        <v>18.329999999999998</v>
      </c>
      <c r="G123" s="258">
        <f t="shared" si="11"/>
        <v>146.63999999999999</v>
      </c>
      <c r="H123" s="257"/>
      <c r="I123" s="187"/>
      <c r="J123" s="187"/>
      <c r="K123" s="18"/>
    </row>
    <row r="124" spans="1:11" s="19" customFormat="1" x14ac:dyDescent="0.25">
      <c r="A124" s="251" t="s">
        <v>682</v>
      </c>
      <c r="B124" s="252" t="s">
        <v>823</v>
      </c>
      <c r="C124" s="258" t="s">
        <v>710</v>
      </c>
      <c r="D124" s="253">
        <v>4</v>
      </c>
      <c r="E124" s="252" t="s">
        <v>20</v>
      </c>
      <c r="F124" s="253">
        <v>24.54</v>
      </c>
      <c r="G124" s="258">
        <f t="shared" si="11"/>
        <v>98.16</v>
      </c>
      <c r="H124" s="257"/>
      <c r="I124" s="187"/>
      <c r="J124" s="187"/>
      <c r="K124" s="18"/>
    </row>
    <row r="125" spans="1:11" s="19" customFormat="1" x14ac:dyDescent="0.25">
      <c r="A125" s="251" t="s">
        <v>683</v>
      </c>
      <c r="B125" s="252" t="s">
        <v>824</v>
      </c>
      <c r="C125" s="258" t="s">
        <v>711</v>
      </c>
      <c r="D125" s="253">
        <v>8</v>
      </c>
      <c r="E125" s="252" t="s">
        <v>20</v>
      </c>
      <c r="F125" s="253">
        <v>20.6</v>
      </c>
      <c r="G125" s="258">
        <f t="shared" si="11"/>
        <v>164.8</v>
      </c>
      <c r="H125" s="257"/>
      <c r="I125" s="187"/>
      <c r="J125" s="187"/>
      <c r="K125" s="18"/>
    </row>
    <row r="126" spans="1:11" s="19" customFormat="1" x14ac:dyDescent="0.25">
      <c r="A126" s="251" t="s">
        <v>684</v>
      </c>
      <c r="B126" s="252" t="s">
        <v>890</v>
      </c>
      <c r="C126" s="258" t="s">
        <v>884</v>
      </c>
      <c r="D126" s="253">
        <v>1</v>
      </c>
      <c r="E126" s="252" t="s">
        <v>20</v>
      </c>
      <c r="F126" s="253">
        <v>25.83</v>
      </c>
      <c r="G126" s="258">
        <f t="shared" si="11"/>
        <v>25.83</v>
      </c>
      <c r="H126" s="257"/>
      <c r="I126" s="187"/>
      <c r="J126" s="187"/>
      <c r="K126" s="18"/>
    </row>
    <row r="127" spans="1:11" s="19" customFormat="1" x14ac:dyDescent="0.25">
      <c r="A127" s="251" t="s">
        <v>685</v>
      </c>
      <c r="B127" s="252" t="s">
        <v>825</v>
      </c>
      <c r="C127" s="258" t="s">
        <v>150</v>
      </c>
      <c r="D127" s="253">
        <v>2</v>
      </c>
      <c r="E127" s="252" t="s">
        <v>20</v>
      </c>
      <c r="F127" s="253">
        <v>25.08</v>
      </c>
      <c r="G127" s="258">
        <f t="shared" si="11"/>
        <v>50.16</v>
      </c>
      <c r="H127" s="257"/>
      <c r="I127" s="187"/>
      <c r="J127" s="187"/>
      <c r="K127" s="18"/>
    </row>
    <row r="128" spans="1:11" s="19" customFormat="1" x14ac:dyDescent="0.25">
      <c r="A128" s="251" t="s">
        <v>686</v>
      </c>
      <c r="B128" s="252" t="s">
        <v>891</v>
      </c>
      <c r="C128" s="258" t="s">
        <v>885</v>
      </c>
      <c r="D128" s="253">
        <v>4</v>
      </c>
      <c r="E128" s="252" t="s">
        <v>20</v>
      </c>
      <c r="F128" s="253">
        <v>24.28</v>
      </c>
      <c r="G128" s="258">
        <f t="shared" si="11"/>
        <v>97.12</v>
      </c>
      <c r="H128" s="257"/>
      <c r="I128" s="187"/>
      <c r="J128" s="187"/>
      <c r="K128" s="18"/>
    </row>
    <row r="129" spans="1:11" s="19" customFormat="1" x14ac:dyDescent="0.25">
      <c r="A129" s="251" t="s">
        <v>687</v>
      </c>
      <c r="B129" s="297" t="s">
        <v>917</v>
      </c>
      <c r="C129" s="258" t="s">
        <v>149</v>
      </c>
      <c r="D129" s="253">
        <v>3</v>
      </c>
      <c r="E129" s="252" t="s">
        <v>20</v>
      </c>
      <c r="F129" s="253">
        <v>140</v>
      </c>
      <c r="G129" s="258">
        <f t="shared" si="11"/>
        <v>420</v>
      </c>
      <c r="H129" s="257"/>
      <c r="I129" s="187"/>
      <c r="J129" s="187"/>
      <c r="K129" s="18"/>
    </row>
    <row r="130" spans="1:11" s="19" customFormat="1" x14ac:dyDescent="0.25">
      <c r="A130" s="251" t="s">
        <v>688</v>
      </c>
      <c r="B130" s="297" t="s">
        <v>918</v>
      </c>
      <c r="C130" s="258" t="s">
        <v>887</v>
      </c>
      <c r="D130" s="253">
        <v>9</v>
      </c>
      <c r="E130" s="252" t="s">
        <v>20</v>
      </c>
      <c r="F130" s="253">
        <v>112</v>
      </c>
      <c r="G130" s="258">
        <f t="shared" si="11"/>
        <v>1008</v>
      </c>
      <c r="H130" s="257"/>
      <c r="I130" s="187"/>
      <c r="J130" s="187"/>
      <c r="K130" s="18"/>
    </row>
    <row r="131" spans="1:11" s="19" customFormat="1" x14ac:dyDescent="0.25">
      <c r="A131" s="251" t="s">
        <v>689</v>
      </c>
      <c r="B131" s="297" t="s">
        <v>919</v>
      </c>
      <c r="C131" s="258" t="s">
        <v>886</v>
      </c>
      <c r="D131" s="253">
        <v>9</v>
      </c>
      <c r="E131" s="252" t="s">
        <v>20</v>
      </c>
      <c r="F131" s="253">
        <v>168</v>
      </c>
      <c r="G131" s="258">
        <f t="shared" si="11"/>
        <v>1512</v>
      </c>
      <c r="H131" s="257"/>
      <c r="I131" s="187"/>
      <c r="J131" s="187"/>
      <c r="K131" s="18"/>
    </row>
    <row r="132" spans="1:11" s="19" customFormat="1" x14ac:dyDescent="0.25">
      <c r="A132" s="251" t="s">
        <v>690</v>
      </c>
      <c r="B132" s="297" t="s">
        <v>920</v>
      </c>
      <c r="C132" s="258" t="s">
        <v>888</v>
      </c>
      <c r="D132" s="253">
        <v>1</v>
      </c>
      <c r="E132" s="252" t="s">
        <v>20</v>
      </c>
      <c r="F132" s="253">
        <v>420</v>
      </c>
      <c r="G132" s="258">
        <f t="shared" si="11"/>
        <v>420</v>
      </c>
      <c r="H132" s="257"/>
      <c r="I132" s="187"/>
      <c r="J132" s="187"/>
      <c r="K132" s="18"/>
    </row>
    <row r="133" spans="1:11" s="19" customFormat="1" x14ac:dyDescent="0.25">
      <c r="A133" s="251" t="s">
        <v>691</v>
      </c>
      <c r="B133" s="252" t="s">
        <v>826</v>
      </c>
      <c r="C133" s="258" t="s">
        <v>151</v>
      </c>
      <c r="D133" s="253">
        <v>19</v>
      </c>
      <c r="E133" s="252" t="s">
        <v>20</v>
      </c>
      <c r="F133" s="253">
        <v>197.02</v>
      </c>
      <c r="G133" s="258">
        <f t="shared" si="11"/>
        <v>3743.38</v>
      </c>
      <c r="H133" s="257"/>
      <c r="I133" s="187"/>
      <c r="J133" s="187"/>
      <c r="K133" s="18"/>
    </row>
    <row r="134" spans="1:11" s="19" customFormat="1" x14ac:dyDescent="0.25">
      <c r="A134" s="251" t="s">
        <v>692</v>
      </c>
      <c r="B134" s="297" t="s">
        <v>921</v>
      </c>
      <c r="C134" s="258" t="s">
        <v>892</v>
      </c>
      <c r="D134" s="253">
        <v>24</v>
      </c>
      <c r="E134" s="252" t="s">
        <v>20</v>
      </c>
      <c r="F134" s="253">
        <v>1960</v>
      </c>
      <c r="G134" s="258">
        <f t="shared" si="11"/>
        <v>47040</v>
      </c>
      <c r="H134" s="257"/>
      <c r="I134" s="187"/>
      <c r="J134" s="187"/>
      <c r="K134" s="18"/>
    </row>
    <row r="135" spans="1:11" s="19" customFormat="1" x14ac:dyDescent="0.25">
      <c r="A135" s="251" t="s">
        <v>693</v>
      </c>
      <c r="B135" s="297" t="s">
        <v>922</v>
      </c>
      <c r="C135" s="258" t="s">
        <v>712</v>
      </c>
      <c r="D135" s="253">
        <v>17</v>
      </c>
      <c r="E135" s="252" t="s">
        <v>20</v>
      </c>
      <c r="F135" s="253">
        <v>196</v>
      </c>
      <c r="G135" s="258">
        <f t="shared" si="11"/>
        <v>3332</v>
      </c>
      <c r="H135" s="257"/>
      <c r="I135" s="187"/>
      <c r="J135" s="187"/>
      <c r="K135" s="18"/>
    </row>
    <row r="136" spans="1:11" s="19" customFormat="1" x14ac:dyDescent="0.25">
      <c r="A136" s="251" t="s">
        <v>694</v>
      </c>
      <c r="B136" s="297" t="s">
        <v>923</v>
      </c>
      <c r="C136" s="258" t="s">
        <v>893</v>
      </c>
      <c r="D136" s="253">
        <v>3</v>
      </c>
      <c r="E136" s="252" t="s">
        <v>20</v>
      </c>
      <c r="F136" s="253">
        <v>28</v>
      </c>
      <c r="G136" s="258">
        <f t="shared" si="11"/>
        <v>84</v>
      </c>
      <c r="H136" s="257"/>
      <c r="I136" s="187"/>
      <c r="J136" s="187"/>
      <c r="K136" s="18"/>
    </row>
    <row r="137" spans="1:11" s="19" customFormat="1" x14ac:dyDescent="0.25">
      <c r="A137" s="251" t="s">
        <v>894</v>
      </c>
      <c r="B137" s="252" t="s">
        <v>827</v>
      </c>
      <c r="C137" s="258" t="s">
        <v>713</v>
      </c>
      <c r="D137" s="253">
        <v>3</v>
      </c>
      <c r="E137" s="252" t="s">
        <v>20</v>
      </c>
      <c r="F137" s="253">
        <v>117.42</v>
      </c>
      <c r="G137" s="258">
        <f t="shared" si="11"/>
        <v>352.26</v>
      </c>
      <c r="H137" s="257"/>
      <c r="I137" s="187"/>
      <c r="J137" s="187"/>
      <c r="K137" s="18"/>
    </row>
    <row r="138" spans="1:11" s="18" customFormat="1" x14ac:dyDescent="0.25">
      <c r="A138" s="251"/>
      <c r="B138" s="252"/>
      <c r="C138" s="255" t="s">
        <v>714</v>
      </c>
      <c r="D138" s="253"/>
      <c r="E138" s="252"/>
      <c r="F138" s="253"/>
      <c r="G138" s="260">
        <f>SUM(G92:G137)</f>
        <v>114171.43000000001</v>
      </c>
      <c r="H138" s="256">
        <f>G138/$G$263</f>
        <v>7.1158390635596994E-2</v>
      </c>
      <c r="I138" s="187"/>
      <c r="J138" s="187"/>
    </row>
    <row r="139" spans="1:11" s="18" customFormat="1" x14ac:dyDescent="0.25">
      <c r="A139" s="251"/>
      <c r="B139" s="252"/>
      <c r="C139" s="255"/>
      <c r="D139" s="253"/>
      <c r="E139" s="252"/>
      <c r="F139" s="253"/>
      <c r="G139" s="261"/>
      <c r="H139" s="262"/>
      <c r="I139" s="187"/>
      <c r="J139" s="187"/>
      <c r="K139" s="19"/>
    </row>
    <row r="140" spans="1:11" s="19" customFormat="1" x14ac:dyDescent="0.25">
      <c r="A140" s="251" t="s">
        <v>262</v>
      </c>
      <c r="B140" s="252"/>
      <c r="C140" s="263" t="s">
        <v>153</v>
      </c>
      <c r="D140" s="253"/>
      <c r="E140" s="252"/>
      <c r="F140" s="253"/>
      <c r="G140" s="263"/>
      <c r="H140" s="264"/>
      <c r="I140" s="187"/>
      <c r="J140" s="187"/>
      <c r="K140" s="18"/>
    </row>
    <row r="141" spans="1:11" s="18" customFormat="1" x14ac:dyDescent="0.25">
      <c r="A141" s="251" t="s">
        <v>717</v>
      </c>
      <c r="B141" s="252"/>
      <c r="C141" s="253" t="s">
        <v>154</v>
      </c>
      <c r="D141" s="253"/>
      <c r="E141" s="252"/>
      <c r="F141" s="253"/>
      <c r="G141" s="261"/>
      <c r="H141" s="262"/>
      <c r="I141" s="187"/>
      <c r="J141" s="187"/>
    </row>
    <row r="142" spans="1:11" s="18" customFormat="1" x14ac:dyDescent="0.25">
      <c r="A142" s="251" t="s">
        <v>718</v>
      </c>
      <c r="B142" s="252" t="s">
        <v>527</v>
      </c>
      <c r="C142" s="253" t="s">
        <v>525</v>
      </c>
      <c r="D142" s="253">
        <f>19+1</f>
        <v>20</v>
      </c>
      <c r="E142" s="252" t="s">
        <v>38</v>
      </c>
      <c r="F142" s="253">
        <f>60.22+3.5</f>
        <v>63.72</v>
      </c>
      <c r="G142" s="261">
        <f>D142*F142</f>
        <v>1274.4000000000001</v>
      </c>
      <c r="H142" s="262"/>
      <c r="I142" s="187"/>
      <c r="J142" s="187"/>
    </row>
    <row r="143" spans="1:11" s="18" customFormat="1" x14ac:dyDescent="0.25">
      <c r="A143" s="251" t="s">
        <v>719</v>
      </c>
      <c r="B143" s="252" t="s">
        <v>526</v>
      </c>
      <c r="C143" s="253" t="s">
        <v>524</v>
      </c>
      <c r="D143" s="253">
        <v>2</v>
      </c>
      <c r="E143" s="252" t="s">
        <v>38</v>
      </c>
      <c r="F143" s="253">
        <f>43.97+2.55</f>
        <v>46.519999999999996</v>
      </c>
      <c r="G143" s="261">
        <f t="shared" ref="G143:G215" si="12">D143*F143</f>
        <v>93.039999999999992</v>
      </c>
      <c r="H143" s="262"/>
      <c r="I143" s="187"/>
      <c r="J143" s="187"/>
    </row>
    <row r="144" spans="1:11" s="18" customFormat="1" x14ac:dyDescent="0.25">
      <c r="A144" s="251" t="s">
        <v>723</v>
      </c>
      <c r="B144" s="252" t="s">
        <v>155</v>
      </c>
      <c r="C144" s="253" t="s">
        <v>156</v>
      </c>
      <c r="D144" s="253">
        <f>3.5+1.5</f>
        <v>5</v>
      </c>
      <c r="E144" s="252" t="s">
        <v>38</v>
      </c>
      <c r="F144" s="253">
        <f>29.41+1.71</f>
        <v>31.12</v>
      </c>
      <c r="G144" s="261">
        <f>D144*F144</f>
        <v>155.6</v>
      </c>
      <c r="H144" s="262"/>
      <c r="I144" s="187"/>
      <c r="J144" s="187"/>
    </row>
    <row r="145" spans="1:10" s="18" customFormat="1" x14ac:dyDescent="0.25">
      <c r="A145" s="251" t="s">
        <v>724</v>
      </c>
      <c r="B145" s="252" t="s">
        <v>157</v>
      </c>
      <c r="C145" s="253" t="s">
        <v>158</v>
      </c>
      <c r="D145" s="253">
        <f>13+33</f>
        <v>46</v>
      </c>
      <c r="E145" s="252" t="s">
        <v>38</v>
      </c>
      <c r="F145" s="253">
        <f>18.7+1.09</f>
        <v>19.79</v>
      </c>
      <c r="G145" s="261">
        <f t="shared" si="12"/>
        <v>910.33999999999992</v>
      </c>
      <c r="H145" s="262"/>
      <c r="I145" s="187"/>
      <c r="J145" s="187"/>
    </row>
    <row r="146" spans="1:10" s="18" customFormat="1" x14ac:dyDescent="0.25">
      <c r="A146" s="251" t="s">
        <v>720</v>
      </c>
      <c r="B146" s="252" t="s">
        <v>159</v>
      </c>
      <c r="C146" s="253" t="s">
        <v>160</v>
      </c>
      <c r="D146" s="253">
        <f>1.5+38</f>
        <v>39.5</v>
      </c>
      <c r="E146" s="252" t="s">
        <v>38</v>
      </c>
      <c r="F146" s="253">
        <f>11.96+0.69</f>
        <v>12.65</v>
      </c>
      <c r="G146" s="261">
        <f t="shared" si="12"/>
        <v>499.67500000000001</v>
      </c>
      <c r="H146" s="262"/>
      <c r="I146" s="187"/>
      <c r="J146" s="187"/>
    </row>
    <row r="147" spans="1:10" s="18" customFormat="1" x14ac:dyDescent="0.25">
      <c r="A147" s="251" t="s">
        <v>725</v>
      </c>
      <c r="B147" s="252" t="s">
        <v>161</v>
      </c>
      <c r="C147" s="253" t="s">
        <v>162</v>
      </c>
      <c r="D147" s="253">
        <f>2+13</f>
        <v>15</v>
      </c>
      <c r="E147" s="252" t="s">
        <v>163</v>
      </c>
      <c r="F147" s="253">
        <f>11.36+0.66</f>
        <v>12.02</v>
      </c>
      <c r="G147" s="261">
        <f t="shared" si="12"/>
        <v>180.29999999999998</v>
      </c>
      <c r="H147" s="262"/>
      <c r="I147" s="187"/>
      <c r="J147" s="187"/>
    </row>
    <row r="148" spans="1:10" s="18" customFormat="1" x14ac:dyDescent="0.25">
      <c r="A148" s="251" t="s">
        <v>726</v>
      </c>
      <c r="B148" s="252" t="s">
        <v>164</v>
      </c>
      <c r="C148" s="253" t="s">
        <v>165</v>
      </c>
      <c r="D148" s="253">
        <f>8+7</f>
        <v>15</v>
      </c>
      <c r="E148" s="252" t="s">
        <v>163</v>
      </c>
      <c r="F148" s="253">
        <f>15.06+0.87</f>
        <v>15.93</v>
      </c>
      <c r="G148" s="261">
        <f t="shared" si="12"/>
        <v>238.95</v>
      </c>
      <c r="H148" s="262"/>
      <c r="I148" s="187"/>
      <c r="J148" s="187"/>
    </row>
    <row r="149" spans="1:10" s="18" customFormat="1" x14ac:dyDescent="0.25">
      <c r="A149" s="251" t="s">
        <v>727</v>
      </c>
      <c r="B149" s="252" t="s">
        <v>166</v>
      </c>
      <c r="C149" s="253" t="s">
        <v>167</v>
      </c>
      <c r="D149" s="253">
        <f>12</f>
        <v>12</v>
      </c>
      <c r="E149" s="252" t="s">
        <v>168</v>
      </c>
      <c r="F149" s="253">
        <f>15.51+0.9</f>
        <v>16.41</v>
      </c>
      <c r="G149" s="261">
        <f t="shared" si="12"/>
        <v>196.92000000000002</v>
      </c>
      <c r="H149" s="262"/>
      <c r="I149" s="187"/>
      <c r="J149" s="187"/>
    </row>
    <row r="150" spans="1:10" s="18" customFormat="1" x14ac:dyDescent="0.25">
      <c r="A150" s="251" t="s">
        <v>728</v>
      </c>
      <c r="B150" s="252" t="s">
        <v>169</v>
      </c>
      <c r="C150" s="253" t="s">
        <v>170</v>
      </c>
      <c r="D150" s="253">
        <f>3</f>
        <v>3</v>
      </c>
      <c r="E150" s="252" t="s">
        <v>168</v>
      </c>
      <c r="F150" s="253">
        <f>17.07+0.99</f>
        <v>18.059999999999999</v>
      </c>
      <c r="G150" s="261">
        <f t="shared" si="12"/>
        <v>54.179999999999993</v>
      </c>
      <c r="H150" s="262"/>
      <c r="I150" s="187"/>
      <c r="J150" s="187"/>
    </row>
    <row r="151" spans="1:10" s="18" customFormat="1" x14ac:dyDescent="0.25">
      <c r="A151" s="251" t="s">
        <v>729</v>
      </c>
      <c r="B151" s="252" t="s">
        <v>531</v>
      </c>
      <c r="C151" s="253" t="s">
        <v>529</v>
      </c>
      <c r="D151" s="253">
        <v>2</v>
      </c>
      <c r="E151" s="252" t="s">
        <v>168</v>
      </c>
      <c r="F151" s="253">
        <f>70.52+4.1</f>
        <v>74.61999999999999</v>
      </c>
      <c r="G151" s="261">
        <f t="shared" si="12"/>
        <v>149.23999999999998</v>
      </c>
      <c r="H151" s="262"/>
      <c r="I151" s="187"/>
      <c r="J151" s="187"/>
    </row>
    <row r="152" spans="1:10" s="18" customFormat="1" x14ac:dyDescent="0.25">
      <c r="A152" s="251" t="s">
        <v>730</v>
      </c>
      <c r="B152" s="252" t="s">
        <v>530</v>
      </c>
      <c r="C152" s="253" t="s">
        <v>528</v>
      </c>
      <c r="D152" s="253">
        <v>1</v>
      </c>
      <c r="E152" s="252" t="s">
        <v>168</v>
      </c>
      <c r="F152" s="253">
        <f>38.01+2.21</f>
        <v>40.22</v>
      </c>
      <c r="G152" s="261">
        <f t="shared" si="12"/>
        <v>40.22</v>
      </c>
      <c r="H152" s="262"/>
      <c r="I152" s="187"/>
      <c r="J152" s="187"/>
    </row>
    <row r="153" spans="1:10" s="18" customFormat="1" x14ac:dyDescent="0.25">
      <c r="A153" s="251" t="s">
        <v>731</v>
      </c>
      <c r="B153" s="252" t="s">
        <v>171</v>
      </c>
      <c r="C153" s="253" t="s">
        <v>172</v>
      </c>
      <c r="D153" s="253">
        <f>2</f>
        <v>2</v>
      </c>
      <c r="E153" s="252" t="s">
        <v>168</v>
      </c>
      <c r="F153" s="253">
        <f>17.05+0.99</f>
        <v>18.04</v>
      </c>
      <c r="G153" s="261">
        <f t="shared" si="12"/>
        <v>36.08</v>
      </c>
      <c r="H153" s="262"/>
      <c r="I153" s="187"/>
      <c r="J153" s="187"/>
    </row>
    <row r="154" spans="1:10" s="18" customFormat="1" x14ac:dyDescent="0.25">
      <c r="A154" s="251" t="s">
        <v>732</v>
      </c>
      <c r="B154" s="252" t="s">
        <v>173</v>
      </c>
      <c r="C154" s="253" t="s">
        <v>174</v>
      </c>
      <c r="D154" s="253">
        <f>4</f>
        <v>4</v>
      </c>
      <c r="E154" s="252" t="s">
        <v>168</v>
      </c>
      <c r="F154" s="253">
        <f>11.68+0.68</f>
        <v>12.36</v>
      </c>
      <c r="G154" s="261">
        <f t="shared" si="12"/>
        <v>49.44</v>
      </c>
      <c r="H154" s="262"/>
      <c r="I154" s="187"/>
      <c r="J154" s="187"/>
    </row>
    <row r="155" spans="1:10" s="18" customFormat="1" x14ac:dyDescent="0.25">
      <c r="A155" s="251" t="s">
        <v>733</v>
      </c>
      <c r="B155" s="252" t="s">
        <v>175</v>
      </c>
      <c r="C155" s="253" t="s">
        <v>176</v>
      </c>
      <c r="D155" s="253">
        <f>1+4</f>
        <v>5</v>
      </c>
      <c r="E155" s="252" t="s">
        <v>168</v>
      </c>
      <c r="F155" s="253">
        <f>18.08+1.05</f>
        <v>19.13</v>
      </c>
      <c r="G155" s="261">
        <f t="shared" si="12"/>
        <v>95.649999999999991</v>
      </c>
      <c r="H155" s="262"/>
      <c r="I155" s="187"/>
      <c r="J155" s="187"/>
    </row>
    <row r="156" spans="1:10" s="18" customFormat="1" x14ac:dyDescent="0.25">
      <c r="A156" s="251" t="s">
        <v>734</v>
      </c>
      <c r="B156" s="252" t="s">
        <v>177</v>
      </c>
      <c r="C156" s="253" t="s">
        <v>178</v>
      </c>
      <c r="D156" s="253">
        <f>13</f>
        <v>13</v>
      </c>
      <c r="E156" s="252" t="s">
        <v>168</v>
      </c>
      <c r="F156" s="253">
        <f>22.08+1.28</f>
        <v>23.36</v>
      </c>
      <c r="G156" s="261">
        <f t="shared" si="12"/>
        <v>303.68</v>
      </c>
      <c r="H156" s="262"/>
      <c r="I156" s="187"/>
      <c r="J156" s="187"/>
    </row>
    <row r="157" spans="1:10" s="18" customFormat="1" x14ac:dyDescent="0.25">
      <c r="A157" s="251" t="s">
        <v>735</v>
      </c>
      <c r="B157" s="252" t="s">
        <v>533</v>
      </c>
      <c r="C157" s="253" t="s">
        <v>532</v>
      </c>
      <c r="D157" s="253">
        <v>1</v>
      </c>
      <c r="E157" s="252" t="s">
        <v>168</v>
      </c>
      <c r="F157" s="253">
        <f>22.81+1.32</f>
        <v>24.13</v>
      </c>
      <c r="G157" s="261">
        <f t="shared" si="12"/>
        <v>24.13</v>
      </c>
      <c r="H157" s="262"/>
      <c r="I157" s="187"/>
      <c r="J157" s="187"/>
    </row>
    <row r="158" spans="1:10" s="18" customFormat="1" x14ac:dyDescent="0.25">
      <c r="A158" s="251" t="s">
        <v>736</v>
      </c>
      <c r="B158" s="252" t="s">
        <v>535</v>
      </c>
      <c r="C158" s="253" t="s">
        <v>534</v>
      </c>
      <c r="D158" s="253">
        <v>1</v>
      </c>
      <c r="E158" s="252" t="s">
        <v>168</v>
      </c>
      <c r="F158" s="253">
        <f>23.73+1.38</f>
        <v>25.11</v>
      </c>
      <c r="G158" s="261">
        <f t="shared" si="12"/>
        <v>25.11</v>
      </c>
      <c r="H158" s="262"/>
      <c r="I158" s="187"/>
      <c r="J158" s="187"/>
    </row>
    <row r="159" spans="1:10" s="18" customFormat="1" x14ac:dyDescent="0.25">
      <c r="A159" s="251" t="s">
        <v>737</v>
      </c>
      <c r="B159" s="252" t="s">
        <v>537</v>
      </c>
      <c r="C159" s="253" t="s">
        <v>536</v>
      </c>
      <c r="D159" s="253">
        <v>5</v>
      </c>
      <c r="E159" s="252" t="s">
        <v>168</v>
      </c>
      <c r="F159" s="253">
        <f>58.22+3.38</f>
        <v>61.6</v>
      </c>
      <c r="G159" s="261">
        <f t="shared" si="12"/>
        <v>308</v>
      </c>
      <c r="H159" s="262"/>
      <c r="I159" s="187"/>
      <c r="J159" s="187"/>
    </row>
    <row r="160" spans="1:10" s="18" customFormat="1" x14ac:dyDescent="0.25">
      <c r="A160" s="251" t="s">
        <v>738</v>
      </c>
      <c r="B160" s="252" t="s">
        <v>539</v>
      </c>
      <c r="C160" s="253" t="s">
        <v>538</v>
      </c>
      <c r="D160" s="253">
        <v>1</v>
      </c>
      <c r="E160" s="252" t="s">
        <v>168</v>
      </c>
      <c r="F160" s="253">
        <f>341.6+19.84</f>
        <v>361.44</v>
      </c>
      <c r="G160" s="261">
        <f t="shared" si="12"/>
        <v>361.44</v>
      </c>
      <c r="H160" s="262"/>
      <c r="I160" s="187"/>
      <c r="J160" s="187"/>
    </row>
    <row r="161" spans="1:10" s="18" customFormat="1" x14ac:dyDescent="0.25">
      <c r="A161" s="251" t="s">
        <v>739</v>
      </c>
      <c r="B161" s="252" t="s">
        <v>179</v>
      </c>
      <c r="C161" s="253" t="s">
        <v>180</v>
      </c>
      <c r="D161" s="253">
        <v>8</v>
      </c>
      <c r="E161" s="252" t="s">
        <v>168</v>
      </c>
      <c r="F161" s="253">
        <f>11.3+0.66</f>
        <v>11.96</v>
      </c>
      <c r="G161" s="261">
        <f t="shared" si="12"/>
        <v>95.68</v>
      </c>
      <c r="H161" s="262"/>
      <c r="I161" s="187"/>
      <c r="J161" s="187"/>
    </row>
    <row r="162" spans="1:10" s="18" customFormat="1" x14ac:dyDescent="0.25">
      <c r="A162" s="251" t="s">
        <v>740</v>
      </c>
      <c r="B162" s="252" t="s">
        <v>543</v>
      </c>
      <c r="C162" s="253" t="s">
        <v>540</v>
      </c>
      <c r="D162" s="253">
        <f>1</f>
        <v>1</v>
      </c>
      <c r="E162" s="252" t="s">
        <v>168</v>
      </c>
      <c r="F162" s="253">
        <f>17.4+1.01</f>
        <v>18.41</v>
      </c>
      <c r="G162" s="261">
        <f t="shared" si="12"/>
        <v>18.41</v>
      </c>
      <c r="H162" s="262"/>
      <c r="I162" s="187"/>
      <c r="J162" s="187"/>
    </row>
    <row r="163" spans="1:10" s="18" customFormat="1" x14ac:dyDescent="0.25">
      <c r="A163" s="251" t="s">
        <v>741</v>
      </c>
      <c r="B163" s="252" t="s">
        <v>544</v>
      </c>
      <c r="C163" s="253" t="s">
        <v>541</v>
      </c>
      <c r="D163" s="253">
        <v>2</v>
      </c>
      <c r="E163" s="252" t="s">
        <v>168</v>
      </c>
      <c r="F163" s="253">
        <f>18.65+1.08</f>
        <v>19.729999999999997</v>
      </c>
      <c r="G163" s="261">
        <f t="shared" si="12"/>
        <v>39.459999999999994</v>
      </c>
      <c r="H163" s="262"/>
      <c r="I163" s="187"/>
      <c r="J163" s="187"/>
    </row>
    <row r="164" spans="1:10" s="18" customFormat="1" x14ac:dyDescent="0.25">
      <c r="A164" s="251" t="s">
        <v>742</v>
      </c>
      <c r="B164" s="252" t="s">
        <v>545</v>
      </c>
      <c r="C164" s="253" t="s">
        <v>542</v>
      </c>
      <c r="D164" s="253">
        <v>2</v>
      </c>
      <c r="E164" s="252" t="s">
        <v>168</v>
      </c>
      <c r="F164" s="253">
        <f>31.88+1.85</f>
        <v>33.729999999999997</v>
      </c>
      <c r="G164" s="261">
        <f t="shared" si="12"/>
        <v>67.459999999999994</v>
      </c>
      <c r="H164" s="262"/>
      <c r="I164" s="187"/>
      <c r="J164" s="187"/>
    </row>
    <row r="165" spans="1:10" s="18" customFormat="1" x14ac:dyDescent="0.25">
      <c r="A165" s="251" t="s">
        <v>743</v>
      </c>
      <c r="B165" s="252" t="s">
        <v>181</v>
      </c>
      <c r="C165" s="253" t="s">
        <v>182</v>
      </c>
      <c r="D165" s="253">
        <f>15</f>
        <v>15</v>
      </c>
      <c r="E165" s="252" t="s">
        <v>163</v>
      </c>
      <c r="F165" s="253">
        <f>11.75+0.68</f>
        <v>12.43</v>
      </c>
      <c r="G165" s="261">
        <f t="shared" si="12"/>
        <v>186.45</v>
      </c>
      <c r="H165" s="262"/>
      <c r="I165" s="187"/>
      <c r="J165" s="187"/>
    </row>
    <row r="166" spans="1:10" s="18" customFormat="1" x14ac:dyDescent="0.25">
      <c r="A166" s="251" t="s">
        <v>744</v>
      </c>
      <c r="B166" s="252" t="s">
        <v>183</v>
      </c>
      <c r="C166" s="253" t="s">
        <v>184</v>
      </c>
      <c r="D166" s="253">
        <f>16</f>
        <v>16</v>
      </c>
      <c r="E166" s="252" t="s">
        <v>163</v>
      </c>
      <c r="F166" s="253">
        <f>28.17+1.64</f>
        <v>29.810000000000002</v>
      </c>
      <c r="G166" s="261">
        <f t="shared" si="12"/>
        <v>476.96000000000004</v>
      </c>
      <c r="H166" s="262"/>
      <c r="I166" s="187"/>
      <c r="J166" s="187"/>
    </row>
    <row r="167" spans="1:10" s="18" customFormat="1" x14ac:dyDescent="0.25">
      <c r="A167" s="251" t="s">
        <v>745</v>
      </c>
      <c r="B167" s="252" t="s">
        <v>185</v>
      </c>
      <c r="C167" s="253" t="s">
        <v>186</v>
      </c>
      <c r="D167" s="253">
        <f>3</f>
        <v>3</v>
      </c>
      <c r="E167" s="252" t="s">
        <v>163</v>
      </c>
      <c r="F167" s="253">
        <f>121.11+7.03</f>
        <v>128.13999999999999</v>
      </c>
      <c r="G167" s="261">
        <f t="shared" si="12"/>
        <v>384.41999999999996</v>
      </c>
      <c r="H167" s="262"/>
      <c r="I167" s="187"/>
      <c r="J167" s="187"/>
    </row>
    <row r="168" spans="1:10" s="18" customFormat="1" x14ac:dyDescent="0.25">
      <c r="A168" s="251" t="s">
        <v>746</v>
      </c>
      <c r="B168" s="252" t="s">
        <v>187</v>
      </c>
      <c r="C168" s="253" t="s">
        <v>188</v>
      </c>
      <c r="D168" s="253">
        <f>8</f>
        <v>8</v>
      </c>
      <c r="E168" s="252" t="s">
        <v>163</v>
      </c>
      <c r="F168" s="253">
        <f>161.95+9.41</f>
        <v>171.35999999999999</v>
      </c>
      <c r="G168" s="261">
        <f t="shared" si="12"/>
        <v>1370.8799999999999</v>
      </c>
      <c r="H168" s="262"/>
      <c r="I168" s="187"/>
      <c r="J168" s="187"/>
    </row>
    <row r="169" spans="1:10" s="18" customFormat="1" x14ac:dyDescent="0.25">
      <c r="A169" s="251" t="s">
        <v>747</v>
      </c>
      <c r="B169" s="252" t="s">
        <v>189</v>
      </c>
      <c r="C169" s="253" t="s">
        <v>190</v>
      </c>
      <c r="D169" s="253">
        <f>14</f>
        <v>14</v>
      </c>
      <c r="E169" s="252" t="s">
        <v>168</v>
      </c>
      <c r="F169" s="253">
        <f>12.27+0.71</f>
        <v>12.98</v>
      </c>
      <c r="G169" s="261">
        <f t="shared" si="12"/>
        <v>181.72</v>
      </c>
      <c r="H169" s="262"/>
      <c r="I169" s="187"/>
      <c r="J169" s="187"/>
    </row>
    <row r="170" spans="1:10" s="18" customFormat="1" x14ac:dyDescent="0.25">
      <c r="A170" s="251" t="s">
        <v>748</v>
      </c>
      <c r="B170" s="252" t="s">
        <v>191</v>
      </c>
      <c r="C170" s="253" t="s">
        <v>192</v>
      </c>
      <c r="D170" s="253">
        <f>11</f>
        <v>11</v>
      </c>
      <c r="E170" s="252" t="s">
        <v>168</v>
      </c>
      <c r="F170" s="253">
        <v>47.64</v>
      </c>
      <c r="G170" s="261">
        <f t="shared" si="12"/>
        <v>524.04</v>
      </c>
      <c r="H170" s="262"/>
      <c r="I170" s="187"/>
      <c r="J170" s="187"/>
    </row>
    <row r="171" spans="1:10" s="18" customFormat="1" x14ac:dyDescent="0.25">
      <c r="A171" s="251" t="s">
        <v>749</v>
      </c>
      <c r="B171" s="252" t="s">
        <v>193</v>
      </c>
      <c r="C171" s="253" t="s">
        <v>546</v>
      </c>
      <c r="D171" s="253">
        <f>9</f>
        <v>9</v>
      </c>
      <c r="E171" s="252" t="s">
        <v>163</v>
      </c>
      <c r="F171" s="253">
        <f>66.41+3.86</f>
        <v>70.27</v>
      </c>
      <c r="G171" s="261">
        <f t="shared" si="12"/>
        <v>632.42999999999995</v>
      </c>
      <c r="H171" s="262"/>
      <c r="I171" s="187"/>
      <c r="J171" s="187"/>
    </row>
    <row r="172" spans="1:10" s="18" customFormat="1" x14ac:dyDescent="0.25">
      <c r="A172" s="251" t="s">
        <v>750</v>
      </c>
      <c r="B172" s="252" t="s">
        <v>548</v>
      </c>
      <c r="C172" s="253" t="s">
        <v>547</v>
      </c>
      <c r="D172" s="253">
        <v>6</v>
      </c>
      <c r="E172" s="252" t="s">
        <v>168</v>
      </c>
      <c r="F172" s="253">
        <f>59.27+3.44</f>
        <v>62.71</v>
      </c>
      <c r="G172" s="261">
        <f t="shared" si="12"/>
        <v>376.26</v>
      </c>
      <c r="H172" s="262"/>
      <c r="I172" s="187"/>
      <c r="J172" s="187"/>
    </row>
    <row r="173" spans="1:10" s="18" customFormat="1" x14ac:dyDescent="0.25">
      <c r="A173" s="251" t="s">
        <v>751</v>
      </c>
      <c r="B173" s="252" t="s">
        <v>194</v>
      </c>
      <c r="C173" s="253" t="s">
        <v>195</v>
      </c>
      <c r="D173" s="253">
        <v>1</v>
      </c>
      <c r="E173" s="252" t="s">
        <v>168</v>
      </c>
      <c r="F173" s="253">
        <f>51.27+2.98</f>
        <v>54.25</v>
      </c>
      <c r="G173" s="261">
        <f t="shared" si="12"/>
        <v>54.25</v>
      </c>
      <c r="H173" s="262"/>
      <c r="I173" s="187"/>
      <c r="J173" s="187"/>
    </row>
    <row r="174" spans="1:10" s="18" customFormat="1" x14ac:dyDescent="0.25">
      <c r="A174" s="251" t="s">
        <v>752</v>
      </c>
      <c r="B174" s="252" t="s">
        <v>196</v>
      </c>
      <c r="C174" s="253" t="s">
        <v>197</v>
      </c>
      <c r="D174" s="253">
        <f>11</f>
        <v>11</v>
      </c>
      <c r="E174" s="252" t="s">
        <v>247</v>
      </c>
      <c r="F174" s="253">
        <f>562.95+32.7</f>
        <v>595.65000000000009</v>
      </c>
      <c r="G174" s="261">
        <f t="shared" si="12"/>
        <v>6552.1500000000015</v>
      </c>
      <c r="H174" s="262"/>
      <c r="I174" s="187"/>
      <c r="J174" s="187"/>
    </row>
    <row r="175" spans="1:10" s="18" customFormat="1" x14ac:dyDescent="0.25">
      <c r="A175" s="251" t="s">
        <v>753</v>
      </c>
      <c r="B175" s="252" t="s">
        <v>198</v>
      </c>
      <c r="C175" s="253" t="s">
        <v>199</v>
      </c>
      <c r="D175" s="253">
        <v>2</v>
      </c>
      <c r="E175" s="252" t="s">
        <v>247</v>
      </c>
      <c r="F175" s="253">
        <f>734.86+42.68</f>
        <v>777.54</v>
      </c>
      <c r="G175" s="261">
        <f t="shared" si="12"/>
        <v>1555.08</v>
      </c>
      <c r="H175" s="262"/>
      <c r="I175" s="187"/>
      <c r="J175" s="187"/>
    </row>
    <row r="176" spans="1:10" s="18" customFormat="1" x14ac:dyDescent="0.25">
      <c r="A176" s="251" t="s">
        <v>754</v>
      </c>
      <c r="B176" s="288" t="s">
        <v>549</v>
      </c>
      <c r="C176" s="253" t="s">
        <v>200</v>
      </c>
      <c r="D176" s="253">
        <f>9</f>
        <v>9</v>
      </c>
      <c r="E176" s="252" t="s">
        <v>168</v>
      </c>
      <c r="F176" s="253">
        <f>44.95+8.65</f>
        <v>53.6</v>
      </c>
      <c r="G176" s="261">
        <f t="shared" si="12"/>
        <v>482.40000000000003</v>
      </c>
      <c r="H176" s="262"/>
      <c r="I176" s="187"/>
      <c r="J176" s="187"/>
    </row>
    <row r="177" spans="1:10" s="18" customFormat="1" x14ac:dyDescent="0.25">
      <c r="A177" s="251" t="s">
        <v>755</v>
      </c>
      <c r="B177" s="288" t="s">
        <v>550</v>
      </c>
      <c r="C177" s="253" t="s">
        <v>201</v>
      </c>
      <c r="D177" s="253">
        <v>11</v>
      </c>
      <c r="E177" s="252" t="s">
        <v>168</v>
      </c>
      <c r="F177" s="253">
        <f>67.76+13.04</f>
        <v>80.800000000000011</v>
      </c>
      <c r="G177" s="261">
        <f t="shared" si="12"/>
        <v>888.80000000000018</v>
      </c>
      <c r="H177" s="262"/>
      <c r="I177" s="187"/>
      <c r="J177" s="187"/>
    </row>
    <row r="178" spans="1:10" s="18" customFormat="1" x14ac:dyDescent="0.25">
      <c r="A178" s="251" t="s">
        <v>756</v>
      </c>
      <c r="B178" s="288" t="s">
        <v>551</v>
      </c>
      <c r="C178" s="253" t="s">
        <v>202</v>
      </c>
      <c r="D178" s="253">
        <v>9</v>
      </c>
      <c r="E178" s="252" t="s">
        <v>168</v>
      </c>
      <c r="F178" s="253">
        <f>53.74+10.34</f>
        <v>64.08</v>
      </c>
      <c r="G178" s="261">
        <f t="shared" si="12"/>
        <v>576.72</v>
      </c>
      <c r="H178" s="262"/>
      <c r="I178" s="187"/>
      <c r="J178" s="187"/>
    </row>
    <row r="179" spans="1:10" s="18" customFormat="1" x14ac:dyDescent="0.25">
      <c r="A179" s="251" t="s">
        <v>757</v>
      </c>
      <c r="B179" s="288" t="s">
        <v>552</v>
      </c>
      <c r="C179" s="253" t="s">
        <v>203</v>
      </c>
      <c r="D179" s="253">
        <v>9</v>
      </c>
      <c r="E179" s="252" t="s">
        <v>168</v>
      </c>
      <c r="F179" s="253">
        <f>64.75+12.46</f>
        <v>77.210000000000008</v>
      </c>
      <c r="G179" s="261">
        <f t="shared" si="12"/>
        <v>694.8900000000001</v>
      </c>
      <c r="H179" s="262"/>
      <c r="I179" s="187"/>
      <c r="J179" s="187"/>
    </row>
    <row r="180" spans="1:10" s="18" customFormat="1" x14ac:dyDescent="0.25">
      <c r="A180" s="251" t="s">
        <v>722</v>
      </c>
      <c r="B180" s="252" t="s">
        <v>204</v>
      </c>
      <c r="C180" s="253" t="s">
        <v>205</v>
      </c>
      <c r="D180" s="253">
        <v>2</v>
      </c>
      <c r="E180" s="252" t="s">
        <v>206</v>
      </c>
      <c r="F180" s="253">
        <f>374.2+21.73</f>
        <v>395.93</v>
      </c>
      <c r="G180" s="261">
        <f t="shared" si="12"/>
        <v>791.86</v>
      </c>
      <c r="H180" s="262"/>
      <c r="I180" s="187"/>
      <c r="J180" s="187"/>
    </row>
    <row r="181" spans="1:10" s="18" customFormat="1" x14ac:dyDescent="0.25">
      <c r="A181" s="251" t="s">
        <v>758</v>
      </c>
      <c r="B181" s="252" t="s">
        <v>207</v>
      </c>
      <c r="C181" s="253" t="s">
        <v>208</v>
      </c>
      <c r="D181" s="253">
        <v>5</v>
      </c>
      <c r="E181" s="252" t="s">
        <v>247</v>
      </c>
      <c r="F181" s="253">
        <f>759.92+44.13</f>
        <v>804.05</v>
      </c>
      <c r="G181" s="261">
        <f t="shared" si="12"/>
        <v>4020.25</v>
      </c>
      <c r="H181" s="262"/>
      <c r="I181" s="187"/>
      <c r="J181" s="187"/>
    </row>
    <row r="182" spans="1:10" s="18" customFormat="1" x14ac:dyDescent="0.25">
      <c r="A182" s="251" t="s">
        <v>759</v>
      </c>
      <c r="B182" s="252" t="s">
        <v>544</v>
      </c>
      <c r="C182" s="253" t="s">
        <v>553</v>
      </c>
      <c r="D182" s="253">
        <v>5</v>
      </c>
      <c r="E182" s="252" t="s">
        <v>168</v>
      </c>
      <c r="F182" s="253">
        <f>18.65+1.08</f>
        <v>19.729999999999997</v>
      </c>
      <c r="G182" s="261">
        <f t="shared" si="12"/>
        <v>98.649999999999977</v>
      </c>
      <c r="H182" s="262"/>
      <c r="I182" s="187"/>
      <c r="J182" s="187"/>
    </row>
    <row r="183" spans="1:10" s="18" customFormat="1" x14ac:dyDescent="0.25">
      <c r="A183" s="251" t="s">
        <v>760</v>
      </c>
      <c r="B183" s="252" t="s">
        <v>556</v>
      </c>
      <c r="C183" s="253" t="s">
        <v>554</v>
      </c>
      <c r="D183" s="253">
        <v>2</v>
      </c>
      <c r="E183" s="252" t="s">
        <v>168</v>
      </c>
      <c r="F183" s="253">
        <f>27.57+1.6</f>
        <v>29.17</v>
      </c>
      <c r="G183" s="261">
        <f t="shared" si="12"/>
        <v>58.34</v>
      </c>
      <c r="H183" s="262"/>
      <c r="I183" s="187"/>
      <c r="J183" s="187"/>
    </row>
    <row r="184" spans="1:10" s="18" customFormat="1" x14ac:dyDescent="0.25">
      <c r="A184" s="251" t="s">
        <v>761</v>
      </c>
      <c r="B184" s="252" t="s">
        <v>557</v>
      </c>
      <c r="C184" s="253" t="s">
        <v>555</v>
      </c>
      <c r="D184" s="253">
        <v>1</v>
      </c>
      <c r="E184" s="252" t="s">
        <v>168</v>
      </c>
      <c r="F184" s="253">
        <f>24.83+1.44</f>
        <v>26.27</v>
      </c>
      <c r="G184" s="261">
        <f t="shared" si="12"/>
        <v>26.27</v>
      </c>
      <c r="H184" s="262"/>
      <c r="I184" s="187"/>
      <c r="J184" s="187"/>
    </row>
    <row r="185" spans="1:10" s="18" customFormat="1" x14ac:dyDescent="0.25">
      <c r="A185" s="251" t="s">
        <v>762</v>
      </c>
      <c r="B185" s="252" t="s">
        <v>560</v>
      </c>
      <c r="C185" s="253" t="s">
        <v>558</v>
      </c>
      <c r="D185" s="253">
        <v>1</v>
      </c>
      <c r="E185" s="252" t="s">
        <v>168</v>
      </c>
      <c r="F185" s="253">
        <f>21+1.22</f>
        <v>22.22</v>
      </c>
      <c r="G185" s="261">
        <f t="shared" si="12"/>
        <v>22.22</v>
      </c>
      <c r="H185" s="262"/>
      <c r="I185" s="187"/>
      <c r="J185" s="187"/>
    </row>
    <row r="186" spans="1:10" s="18" customFormat="1" x14ac:dyDescent="0.25">
      <c r="A186" s="251" t="s">
        <v>763</v>
      </c>
      <c r="B186" s="252" t="s">
        <v>561</v>
      </c>
      <c r="C186" s="253" t="s">
        <v>559</v>
      </c>
      <c r="D186" s="253">
        <v>1</v>
      </c>
      <c r="E186" s="252" t="s">
        <v>168</v>
      </c>
      <c r="F186" s="253">
        <f>101.01+5.87</f>
        <v>106.88000000000001</v>
      </c>
      <c r="G186" s="261">
        <f t="shared" si="12"/>
        <v>106.88000000000001</v>
      </c>
      <c r="H186" s="262"/>
      <c r="I186" s="187"/>
      <c r="J186" s="187"/>
    </row>
    <row r="187" spans="1:10" s="18" customFormat="1" x14ac:dyDescent="0.25">
      <c r="A187" s="251" t="s">
        <v>721</v>
      </c>
      <c r="B187" s="252" t="s">
        <v>563</v>
      </c>
      <c r="C187" s="253" t="s">
        <v>562</v>
      </c>
      <c r="D187" s="253">
        <v>9</v>
      </c>
      <c r="E187" s="252" t="s">
        <v>168</v>
      </c>
      <c r="F187" s="253">
        <f>12.4+0.72</f>
        <v>13.120000000000001</v>
      </c>
      <c r="G187" s="261">
        <f t="shared" si="12"/>
        <v>118.08000000000001</v>
      </c>
      <c r="H187" s="262"/>
      <c r="I187" s="187"/>
      <c r="J187" s="187"/>
    </row>
    <row r="188" spans="1:10" s="18" customFormat="1" x14ac:dyDescent="0.25">
      <c r="A188" s="251" t="s">
        <v>764</v>
      </c>
      <c r="B188" s="252" t="s">
        <v>565</v>
      </c>
      <c r="C188" s="253" t="s">
        <v>564</v>
      </c>
      <c r="D188" s="253">
        <v>11</v>
      </c>
      <c r="E188" s="252" t="s">
        <v>168</v>
      </c>
      <c r="F188" s="253">
        <f>15.38+0.89</f>
        <v>16.27</v>
      </c>
      <c r="G188" s="261">
        <f t="shared" ref="G188:G189" si="13">D188*F188</f>
        <v>178.97</v>
      </c>
      <c r="H188" s="262"/>
      <c r="I188" s="187"/>
      <c r="J188" s="187"/>
    </row>
    <row r="189" spans="1:10" s="18" customFormat="1" x14ac:dyDescent="0.25">
      <c r="A189" s="251" t="s">
        <v>765</v>
      </c>
      <c r="B189" s="252" t="s">
        <v>567</v>
      </c>
      <c r="C189" s="253" t="s">
        <v>566</v>
      </c>
      <c r="D189" s="253">
        <v>9</v>
      </c>
      <c r="E189" s="252" t="s">
        <v>168</v>
      </c>
      <c r="F189" s="253">
        <f>77.32+4.49</f>
        <v>81.809999999999988</v>
      </c>
      <c r="G189" s="261">
        <f t="shared" si="13"/>
        <v>736.28999999999985</v>
      </c>
      <c r="H189" s="262"/>
      <c r="I189" s="187"/>
      <c r="J189" s="187"/>
    </row>
    <row r="190" spans="1:10" s="18" customFormat="1" x14ac:dyDescent="0.25">
      <c r="A190" s="251" t="s">
        <v>766</v>
      </c>
      <c r="B190" s="252" t="s">
        <v>573</v>
      </c>
      <c r="C190" s="253" t="s">
        <v>568</v>
      </c>
      <c r="D190" s="253">
        <v>3.3</v>
      </c>
      <c r="E190" s="252" t="s">
        <v>38</v>
      </c>
      <c r="F190" s="253">
        <f>294.88+17.13</f>
        <v>312.01</v>
      </c>
      <c r="G190" s="261">
        <f t="shared" si="12"/>
        <v>1029.6329999999998</v>
      </c>
      <c r="H190" s="262"/>
      <c r="I190" s="187"/>
      <c r="J190" s="187"/>
    </row>
    <row r="191" spans="1:10" s="18" customFormat="1" x14ac:dyDescent="0.25">
      <c r="A191" s="251" t="s">
        <v>767</v>
      </c>
      <c r="B191" s="252" t="s">
        <v>573</v>
      </c>
      <c r="C191" s="253" t="s">
        <v>569</v>
      </c>
      <c r="D191" s="253">
        <v>3.3</v>
      </c>
      <c r="E191" s="252" t="s">
        <v>38</v>
      </c>
      <c r="F191" s="253">
        <f>294.88+17.13</f>
        <v>312.01</v>
      </c>
      <c r="G191" s="261">
        <f t="shared" ref="G191" si="14">D191*F191</f>
        <v>1029.6329999999998</v>
      </c>
      <c r="H191" s="262"/>
      <c r="I191" s="187"/>
      <c r="J191" s="187"/>
    </row>
    <row r="192" spans="1:10" s="18" customFormat="1" x14ac:dyDescent="0.25">
      <c r="A192" s="251" t="s">
        <v>768</v>
      </c>
      <c r="B192" s="252" t="s">
        <v>573</v>
      </c>
      <c r="C192" s="253" t="s">
        <v>570</v>
      </c>
      <c r="D192" s="253">
        <v>0.9</v>
      </c>
      <c r="E192" s="252" t="s">
        <v>38</v>
      </c>
      <c r="F192" s="253">
        <f>294.88+17.13</f>
        <v>312.01</v>
      </c>
      <c r="G192" s="261">
        <f t="shared" si="12"/>
        <v>280.80900000000003</v>
      </c>
      <c r="H192" s="262"/>
      <c r="I192" s="187"/>
      <c r="J192" s="187"/>
    </row>
    <row r="193" spans="1:10" s="18" customFormat="1" x14ac:dyDescent="0.25">
      <c r="A193" s="251" t="s">
        <v>769</v>
      </c>
      <c r="B193" s="252" t="s">
        <v>573</v>
      </c>
      <c r="C193" s="253" t="s">
        <v>571</v>
      </c>
      <c r="D193" s="253">
        <v>1.6</v>
      </c>
      <c r="E193" s="252" t="s">
        <v>38</v>
      </c>
      <c r="F193" s="253">
        <f>294.88+17.13</f>
        <v>312.01</v>
      </c>
      <c r="G193" s="261">
        <f t="shared" ref="G193" si="15">D193*F193</f>
        <v>499.21600000000001</v>
      </c>
      <c r="H193" s="262"/>
      <c r="I193" s="187"/>
      <c r="J193" s="187"/>
    </row>
    <row r="194" spans="1:10" s="18" customFormat="1" x14ac:dyDescent="0.25">
      <c r="A194" s="251" t="s">
        <v>770</v>
      </c>
      <c r="B194" s="252" t="s">
        <v>573</v>
      </c>
      <c r="C194" s="253" t="s">
        <v>572</v>
      </c>
      <c r="D194" s="253">
        <v>1.8</v>
      </c>
      <c r="E194" s="252" t="s">
        <v>38</v>
      </c>
      <c r="F194" s="253">
        <f>294.88+17.13</f>
        <v>312.01</v>
      </c>
      <c r="G194" s="261">
        <f t="shared" si="12"/>
        <v>561.61800000000005</v>
      </c>
      <c r="H194" s="262"/>
      <c r="I194" s="187"/>
      <c r="J194" s="187"/>
    </row>
    <row r="195" spans="1:10" s="18" customFormat="1" x14ac:dyDescent="0.25">
      <c r="A195" s="251" t="s">
        <v>771</v>
      </c>
      <c r="B195" s="252" t="s">
        <v>574</v>
      </c>
      <c r="C195" s="258" t="s">
        <v>575</v>
      </c>
      <c r="D195" s="253">
        <v>13</v>
      </c>
      <c r="E195" s="252" t="s">
        <v>247</v>
      </c>
      <c r="F195" s="253">
        <f>591.12+34.33</f>
        <v>625.45000000000005</v>
      </c>
      <c r="G195" s="261">
        <f t="shared" si="12"/>
        <v>8130.85</v>
      </c>
      <c r="H195" s="262"/>
      <c r="I195" s="187"/>
      <c r="J195" s="187"/>
    </row>
    <row r="196" spans="1:10" s="18" customFormat="1" x14ac:dyDescent="0.25">
      <c r="A196" s="251" t="s">
        <v>772</v>
      </c>
      <c r="B196" s="252" t="s">
        <v>833</v>
      </c>
      <c r="C196" s="258" t="s">
        <v>576</v>
      </c>
      <c r="D196" s="253">
        <v>9</v>
      </c>
      <c r="E196" s="252" t="s">
        <v>247</v>
      </c>
      <c r="F196" s="253">
        <f>72.53+4.21</f>
        <v>76.739999999999995</v>
      </c>
      <c r="G196" s="261">
        <f t="shared" si="12"/>
        <v>690.66</v>
      </c>
      <c r="H196" s="262"/>
      <c r="I196" s="187"/>
      <c r="J196" s="187"/>
    </row>
    <row r="197" spans="1:10" s="18" customFormat="1" x14ac:dyDescent="0.25">
      <c r="A197" s="251" t="s">
        <v>773</v>
      </c>
      <c r="B197" s="252" t="s">
        <v>209</v>
      </c>
      <c r="C197" s="253" t="s">
        <v>210</v>
      </c>
      <c r="D197" s="253">
        <v>2</v>
      </c>
      <c r="E197" s="252" t="s">
        <v>247</v>
      </c>
      <c r="F197" s="253">
        <f>1678+322.97</f>
        <v>2000.97</v>
      </c>
      <c r="G197" s="261">
        <f t="shared" si="12"/>
        <v>4001.94</v>
      </c>
      <c r="H197" s="262"/>
      <c r="I197" s="187"/>
      <c r="J197" s="187"/>
    </row>
    <row r="198" spans="1:10" s="18" customFormat="1" x14ac:dyDescent="0.25">
      <c r="A198" s="251" t="s">
        <v>774</v>
      </c>
      <c r="B198" s="252"/>
      <c r="C198" s="255" t="s">
        <v>211</v>
      </c>
      <c r="D198" s="253"/>
      <c r="E198" s="252"/>
      <c r="F198" s="253"/>
      <c r="G198" s="261">
        <f t="shared" si="12"/>
        <v>0</v>
      </c>
      <c r="H198" s="262"/>
      <c r="I198" s="187"/>
      <c r="J198" s="187"/>
    </row>
    <row r="199" spans="1:10" s="18" customFormat="1" x14ac:dyDescent="0.25">
      <c r="A199" s="251" t="s">
        <v>775</v>
      </c>
      <c r="B199" s="252" t="s">
        <v>212</v>
      </c>
      <c r="C199" s="258" t="s">
        <v>213</v>
      </c>
      <c r="D199" s="253">
        <v>83</v>
      </c>
      <c r="E199" s="252" t="s">
        <v>38</v>
      </c>
      <c r="F199" s="253">
        <f>66.7+3.87</f>
        <v>70.570000000000007</v>
      </c>
      <c r="G199" s="261">
        <f>D199*F199</f>
        <v>5857.31</v>
      </c>
      <c r="H199" s="262"/>
      <c r="I199" s="187"/>
      <c r="J199" s="187"/>
    </row>
    <row r="200" spans="1:10" s="18" customFormat="1" x14ac:dyDescent="0.25">
      <c r="A200" s="251" t="s">
        <v>776</v>
      </c>
      <c r="B200" s="252" t="s">
        <v>214</v>
      </c>
      <c r="C200" s="253" t="s">
        <v>215</v>
      </c>
      <c r="D200" s="253">
        <f>205+3</f>
        <v>208</v>
      </c>
      <c r="E200" s="252" t="s">
        <v>38</v>
      </c>
      <c r="F200" s="253">
        <f>38.63+2.24</f>
        <v>40.870000000000005</v>
      </c>
      <c r="G200" s="261">
        <f t="shared" si="12"/>
        <v>8500.9600000000009</v>
      </c>
      <c r="H200" s="262"/>
      <c r="I200" s="187"/>
      <c r="J200" s="187"/>
    </row>
    <row r="201" spans="1:10" s="18" customFormat="1" x14ac:dyDescent="0.25">
      <c r="A201" s="251" t="s">
        <v>777</v>
      </c>
      <c r="B201" s="252" t="s">
        <v>216</v>
      </c>
      <c r="C201" s="253" t="s">
        <v>217</v>
      </c>
      <c r="D201" s="253">
        <f>10</f>
        <v>10</v>
      </c>
      <c r="E201" s="252" t="s">
        <v>38</v>
      </c>
      <c r="F201" s="253">
        <f>28.45+1.65</f>
        <v>30.099999999999998</v>
      </c>
      <c r="G201" s="261">
        <f t="shared" si="12"/>
        <v>301</v>
      </c>
      <c r="H201" s="262"/>
      <c r="I201" s="187"/>
      <c r="J201" s="187"/>
    </row>
    <row r="202" spans="1:10" s="18" customFormat="1" x14ac:dyDescent="0.25">
      <c r="A202" s="251" t="s">
        <v>778</v>
      </c>
      <c r="B202" s="252" t="s">
        <v>218</v>
      </c>
      <c r="C202" s="253" t="s">
        <v>219</v>
      </c>
      <c r="D202" s="253">
        <f>23+6</f>
        <v>29</v>
      </c>
      <c r="E202" s="252" t="s">
        <v>38</v>
      </c>
      <c r="F202" s="253">
        <f>21.62+1.26</f>
        <v>22.880000000000003</v>
      </c>
      <c r="G202" s="261">
        <f t="shared" si="12"/>
        <v>663.5200000000001</v>
      </c>
      <c r="H202" s="262"/>
      <c r="I202" s="187"/>
      <c r="J202" s="187"/>
    </row>
    <row r="203" spans="1:10" s="18" customFormat="1" x14ac:dyDescent="0.25">
      <c r="A203" s="251" t="s">
        <v>779</v>
      </c>
      <c r="B203" s="252" t="s">
        <v>220</v>
      </c>
      <c r="C203" s="253" t="s">
        <v>221</v>
      </c>
      <c r="D203" s="253">
        <f>17</f>
        <v>17</v>
      </c>
      <c r="E203" s="252" t="s">
        <v>38</v>
      </c>
      <c r="F203" s="253">
        <f>22.9+1.33</f>
        <v>24.229999999999997</v>
      </c>
      <c r="G203" s="261">
        <f t="shared" si="12"/>
        <v>411.90999999999997</v>
      </c>
      <c r="H203" s="262"/>
      <c r="I203" s="187"/>
      <c r="J203" s="187"/>
    </row>
    <row r="204" spans="1:10" s="18" customFormat="1" x14ac:dyDescent="0.25">
      <c r="A204" s="251" t="s">
        <v>780</v>
      </c>
      <c r="B204" s="252" t="s">
        <v>222</v>
      </c>
      <c r="C204" s="253" t="s">
        <v>223</v>
      </c>
      <c r="D204" s="253">
        <v>6</v>
      </c>
      <c r="E204" s="252" t="s">
        <v>168</v>
      </c>
      <c r="F204" s="253">
        <f>30.85+1.79</f>
        <v>32.64</v>
      </c>
      <c r="G204" s="261">
        <f t="shared" si="12"/>
        <v>195.84</v>
      </c>
      <c r="H204" s="262"/>
      <c r="I204" s="187"/>
      <c r="J204" s="187"/>
    </row>
    <row r="205" spans="1:10" s="18" customFormat="1" x14ac:dyDescent="0.25">
      <c r="A205" s="251" t="s">
        <v>781</v>
      </c>
      <c r="B205" s="252" t="s">
        <v>224</v>
      </c>
      <c r="C205" s="253" t="s">
        <v>225</v>
      </c>
      <c r="D205" s="253">
        <v>5</v>
      </c>
      <c r="E205" s="252" t="s">
        <v>168</v>
      </c>
      <c r="F205" s="253">
        <f>45.87+2.66</f>
        <v>48.53</v>
      </c>
      <c r="G205" s="261">
        <f t="shared" si="12"/>
        <v>242.65</v>
      </c>
      <c r="H205" s="262"/>
      <c r="I205" s="187"/>
      <c r="J205" s="187"/>
    </row>
    <row r="206" spans="1:10" s="18" customFormat="1" x14ac:dyDescent="0.25">
      <c r="A206" s="251" t="s">
        <v>782</v>
      </c>
      <c r="B206" s="252" t="s">
        <v>226</v>
      </c>
      <c r="C206" s="253" t="s">
        <v>227</v>
      </c>
      <c r="D206" s="253">
        <v>10</v>
      </c>
      <c r="E206" s="252" t="s">
        <v>168</v>
      </c>
      <c r="F206" s="253">
        <f>20.56+1.19</f>
        <v>21.75</v>
      </c>
      <c r="G206" s="261">
        <f t="shared" si="12"/>
        <v>217.5</v>
      </c>
      <c r="H206" s="262"/>
      <c r="I206" s="187"/>
      <c r="J206" s="187"/>
    </row>
    <row r="207" spans="1:10" s="18" customFormat="1" x14ac:dyDescent="0.25">
      <c r="A207" s="251" t="s">
        <v>783</v>
      </c>
      <c r="B207" s="252" t="s">
        <v>578</v>
      </c>
      <c r="C207" s="253" t="s">
        <v>577</v>
      </c>
      <c r="D207" s="253">
        <v>8</v>
      </c>
      <c r="E207" s="252" t="s">
        <v>168</v>
      </c>
      <c r="F207" s="253">
        <f>26.15+1.52</f>
        <v>27.669999999999998</v>
      </c>
      <c r="G207" s="261">
        <f t="shared" si="12"/>
        <v>221.35999999999999</v>
      </c>
      <c r="H207" s="262"/>
      <c r="I207" s="187"/>
      <c r="J207" s="187"/>
    </row>
    <row r="208" spans="1:10" s="18" customFormat="1" x14ac:dyDescent="0.25">
      <c r="A208" s="251" t="s">
        <v>784</v>
      </c>
      <c r="B208" s="252" t="s">
        <v>229</v>
      </c>
      <c r="C208" s="253" t="s">
        <v>230</v>
      </c>
      <c r="D208" s="253">
        <v>7</v>
      </c>
      <c r="E208" s="252" t="s">
        <v>168</v>
      </c>
      <c r="F208" s="253">
        <f>30.58+1.78</f>
        <v>32.36</v>
      </c>
      <c r="G208" s="261">
        <f t="shared" si="12"/>
        <v>226.51999999999998</v>
      </c>
      <c r="H208" s="262"/>
      <c r="I208" s="187"/>
      <c r="J208" s="187"/>
    </row>
    <row r="209" spans="1:10" s="18" customFormat="1" x14ac:dyDescent="0.25">
      <c r="A209" s="251" t="s">
        <v>785</v>
      </c>
      <c r="B209" s="252" t="s">
        <v>231</v>
      </c>
      <c r="C209" s="253" t="s">
        <v>232</v>
      </c>
      <c r="D209" s="253">
        <v>5</v>
      </c>
      <c r="E209" s="252" t="s">
        <v>168</v>
      </c>
      <c r="F209" s="253">
        <f>20.96+1.22</f>
        <v>22.18</v>
      </c>
      <c r="G209" s="261">
        <f t="shared" si="12"/>
        <v>110.9</v>
      </c>
      <c r="H209" s="262"/>
      <c r="I209" s="187"/>
      <c r="J209" s="187"/>
    </row>
    <row r="210" spans="1:10" s="18" customFormat="1" x14ac:dyDescent="0.25">
      <c r="A210" s="251" t="s">
        <v>786</v>
      </c>
      <c r="B210" s="252" t="s">
        <v>233</v>
      </c>
      <c r="C210" s="253" t="s">
        <v>234</v>
      </c>
      <c r="D210" s="253">
        <v>4</v>
      </c>
      <c r="E210" s="252" t="s">
        <v>168</v>
      </c>
      <c r="F210" s="253">
        <f>15.81+0.92</f>
        <v>16.73</v>
      </c>
      <c r="G210" s="261">
        <f t="shared" si="12"/>
        <v>66.92</v>
      </c>
      <c r="H210" s="262"/>
      <c r="I210" s="187"/>
      <c r="J210" s="187"/>
    </row>
    <row r="211" spans="1:10" s="18" customFormat="1" x14ac:dyDescent="0.25">
      <c r="A211" s="251" t="s">
        <v>787</v>
      </c>
      <c r="B211" s="252" t="s">
        <v>235</v>
      </c>
      <c r="C211" s="253" t="s">
        <v>236</v>
      </c>
      <c r="D211" s="253">
        <v>2</v>
      </c>
      <c r="E211" s="252" t="s">
        <v>168</v>
      </c>
      <c r="F211" s="253">
        <f>21.22+1.23</f>
        <v>22.45</v>
      </c>
      <c r="G211" s="261">
        <f t="shared" si="12"/>
        <v>44.9</v>
      </c>
      <c r="H211" s="262"/>
      <c r="I211" s="187"/>
      <c r="J211" s="187"/>
    </row>
    <row r="212" spans="1:10" s="18" customFormat="1" x14ac:dyDescent="0.25">
      <c r="A212" s="251" t="s">
        <v>788</v>
      </c>
      <c r="B212" s="252" t="s">
        <v>237</v>
      </c>
      <c r="C212" s="253" t="s">
        <v>238</v>
      </c>
      <c r="D212" s="253">
        <v>4</v>
      </c>
      <c r="E212" s="252" t="s">
        <v>168</v>
      </c>
      <c r="F212" s="253">
        <f>39.36+2.29</f>
        <v>41.65</v>
      </c>
      <c r="G212" s="261">
        <f t="shared" si="12"/>
        <v>166.6</v>
      </c>
      <c r="H212" s="262"/>
      <c r="I212" s="187"/>
      <c r="J212" s="187"/>
    </row>
    <row r="213" spans="1:10" s="18" customFormat="1" x14ac:dyDescent="0.25">
      <c r="A213" s="251" t="s">
        <v>789</v>
      </c>
      <c r="B213" s="252" t="s">
        <v>580</v>
      </c>
      <c r="C213" s="253" t="s">
        <v>579</v>
      </c>
      <c r="D213" s="253">
        <v>2</v>
      </c>
      <c r="E213" s="252" t="s">
        <v>168</v>
      </c>
      <c r="F213" s="253">
        <f>24.01+1.39</f>
        <v>25.400000000000002</v>
      </c>
      <c r="G213" s="261">
        <f t="shared" si="12"/>
        <v>50.800000000000004</v>
      </c>
      <c r="H213" s="262"/>
      <c r="I213" s="187"/>
      <c r="J213" s="187"/>
    </row>
    <row r="214" spans="1:10" s="18" customFormat="1" x14ac:dyDescent="0.25">
      <c r="A214" s="251" t="s">
        <v>790</v>
      </c>
      <c r="B214" s="252" t="s">
        <v>239</v>
      </c>
      <c r="C214" s="253" t="s">
        <v>240</v>
      </c>
      <c r="D214" s="253">
        <v>4</v>
      </c>
      <c r="E214" s="252" t="s">
        <v>168</v>
      </c>
      <c r="F214" s="253">
        <f>31.98+1.86</f>
        <v>33.840000000000003</v>
      </c>
      <c r="G214" s="261">
        <f t="shared" si="12"/>
        <v>135.36000000000001</v>
      </c>
      <c r="H214" s="262"/>
      <c r="I214" s="187"/>
      <c r="J214" s="187"/>
    </row>
    <row r="215" spans="1:10" s="18" customFormat="1" x14ac:dyDescent="0.25">
      <c r="A215" s="251" t="s">
        <v>791</v>
      </c>
      <c r="B215" s="252" t="s">
        <v>241</v>
      </c>
      <c r="C215" s="253" t="s">
        <v>242</v>
      </c>
      <c r="D215" s="253">
        <v>9</v>
      </c>
      <c r="E215" s="252" t="s">
        <v>168</v>
      </c>
      <c r="F215" s="253">
        <f>22.62+1.31</f>
        <v>23.93</v>
      </c>
      <c r="G215" s="261">
        <f t="shared" si="12"/>
        <v>215.37</v>
      </c>
      <c r="H215" s="262"/>
      <c r="I215" s="187"/>
      <c r="J215" s="187"/>
    </row>
    <row r="216" spans="1:10" s="18" customFormat="1" x14ac:dyDescent="0.25">
      <c r="A216" s="251" t="s">
        <v>792</v>
      </c>
      <c r="B216" s="252" t="s">
        <v>243</v>
      </c>
      <c r="C216" s="253" t="s">
        <v>244</v>
      </c>
      <c r="D216" s="253">
        <v>1</v>
      </c>
      <c r="E216" s="252" t="s">
        <v>168</v>
      </c>
      <c r="F216" s="253">
        <f>38.41+2.23</f>
        <v>40.639999999999993</v>
      </c>
      <c r="G216" s="261">
        <f t="shared" ref="G216:G226" si="16">D216*F216</f>
        <v>40.639999999999993</v>
      </c>
      <c r="H216" s="262"/>
      <c r="I216" s="187"/>
      <c r="J216" s="187"/>
    </row>
    <row r="217" spans="1:10" s="18" customFormat="1" x14ac:dyDescent="0.25">
      <c r="A217" s="251" t="s">
        <v>793</v>
      </c>
      <c r="B217" s="252" t="s">
        <v>245</v>
      </c>
      <c r="C217" s="253" t="s">
        <v>246</v>
      </c>
      <c r="D217" s="253">
        <v>4</v>
      </c>
      <c r="E217" s="252" t="s">
        <v>247</v>
      </c>
      <c r="F217" s="253">
        <f>35.4</f>
        <v>35.4</v>
      </c>
      <c r="G217" s="261">
        <f t="shared" si="16"/>
        <v>141.6</v>
      </c>
      <c r="H217" s="262"/>
      <c r="I217" s="187"/>
      <c r="J217" s="187"/>
    </row>
    <row r="218" spans="1:10" s="18" customFormat="1" x14ac:dyDescent="0.25">
      <c r="A218" s="251" t="s">
        <v>794</v>
      </c>
      <c r="B218" s="252" t="s">
        <v>248</v>
      </c>
      <c r="C218" s="253" t="s">
        <v>249</v>
      </c>
      <c r="D218" s="253">
        <v>6</v>
      </c>
      <c r="E218" s="252" t="s">
        <v>247</v>
      </c>
      <c r="F218" s="253">
        <f>49.71+2.89</f>
        <v>52.6</v>
      </c>
      <c r="G218" s="261">
        <f t="shared" si="16"/>
        <v>315.60000000000002</v>
      </c>
      <c r="H218" s="262"/>
      <c r="I218" s="187"/>
      <c r="J218" s="187"/>
    </row>
    <row r="219" spans="1:10" s="18" customFormat="1" x14ac:dyDescent="0.25">
      <c r="A219" s="251" t="s">
        <v>795</v>
      </c>
      <c r="B219" s="252" t="s">
        <v>581</v>
      </c>
      <c r="C219" s="253" t="s">
        <v>582</v>
      </c>
      <c r="D219" s="253">
        <v>2</v>
      </c>
      <c r="E219" s="252" t="s">
        <v>168</v>
      </c>
      <c r="F219" s="253">
        <f>31.65+1.84</f>
        <v>33.49</v>
      </c>
      <c r="G219" s="261">
        <f t="shared" si="16"/>
        <v>66.98</v>
      </c>
      <c r="H219" s="262"/>
      <c r="I219" s="187"/>
      <c r="J219" s="187"/>
    </row>
    <row r="220" spans="1:10" s="18" customFormat="1" x14ac:dyDescent="0.25">
      <c r="A220" s="251" t="s">
        <v>796</v>
      </c>
      <c r="B220" s="252" t="s">
        <v>250</v>
      </c>
      <c r="C220" s="253" t="s">
        <v>251</v>
      </c>
      <c r="D220" s="253">
        <v>7</v>
      </c>
      <c r="E220" s="252" t="s">
        <v>168</v>
      </c>
      <c r="F220" s="253">
        <f>104.45+6.07</f>
        <v>110.52000000000001</v>
      </c>
      <c r="G220" s="261">
        <f t="shared" si="16"/>
        <v>773.6400000000001</v>
      </c>
      <c r="H220" s="262"/>
      <c r="I220" s="187"/>
      <c r="J220" s="187"/>
    </row>
    <row r="221" spans="1:10" s="18" customFormat="1" x14ac:dyDescent="0.25">
      <c r="A221" s="251" t="s">
        <v>797</v>
      </c>
      <c r="B221" s="252" t="s">
        <v>253</v>
      </c>
      <c r="C221" s="253" t="s">
        <v>254</v>
      </c>
      <c r="D221" s="253">
        <v>1</v>
      </c>
      <c r="E221" s="252" t="s">
        <v>168</v>
      </c>
      <c r="F221" s="253">
        <f>17+0.99</f>
        <v>17.989999999999998</v>
      </c>
      <c r="G221" s="261">
        <f t="shared" si="16"/>
        <v>17.989999999999998</v>
      </c>
      <c r="H221" s="262"/>
      <c r="I221" s="187"/>
      <c r="J221" s="187"/>
    </row>
    <row r="222" spans="1:10" s="18" customFormat="1" x14ac:dyDescent="0.25">
      <c r="A222" s="251" t="s">
        <v>798</v>
      </c>
      <c r="B222" s="252" t="s">
        <v>252</v>
      </c>
      <c r="C222" s="253" t="s">
        <v>255</v>
      </c>
      <c r="D222" s="253">
        <v>2</v>
      </c>
      <c r="E222" s="252" t="s">
        <v>168</v>
      </c>
      <c r="F222" s="253">
        <f>20.82+1.21</f>
        <v>22.03</v>
      </c>
      <c r="G222" s="261">
        <f t="shared" si="16"/>
        <v>44.06</v>
      </c>
      <c r="H222" s="262"/>
      <c r="I222" s="187"/>
      <c r="J222" s="187"/>
    </row>
    <row r="223" spans="1:10" s="18" customFormat="1" x14ac:dyDescent="0.25">
      <c r="A223" s="251" t="s">
        <v>799</v>
      </c>
      <c r="B223" s="252" t="s">
        <v>256</v>
      </c>
      <c r="C223" s="253" t="s">
        <v>257</v>
      </c>
      <c r="D223" s="253">
        <v>17</v>
      </c>
      <c r="E223" s="252" t="s">
        <v>168</v>
      </c>
      <c r="F223" s="253">
        <f>19.01+1.1</f>
        <v>20.110000000000003</v>
      </c>
      <c r="G223" s="261">
        <f t="shared" si="16"/>
        <v>341.87000000000006</v>
      </c>
      <c r="H223" s="262"/>
      <c r="I223" s="187"/>
      <c r="J223" s="187"/>
    </row>
    <row r="224" spans="1:10" s="18" customFormat="1" x14ac:dyDescent="0.25">
      <c r="A224" s="251" t="s">
        <v>800</v>
      </c>
      <c r="B224" s="252" t="s">
        <v>228</v>
      </c>
      <c r="C224" s="253" t="s">
        <v>583</v>
      </c>
      <c r="D224" s="253">
        <v>15</v>
      </c>
      <c r="E224" s="252" t="s">
        <v>168</v>
      </c>
      <c r="F224" s="253">
        <f>19.01+1.1</f>
        <v>20.110000000000003</v>
      </c>
      <c r="G224" s="261">
        <f t="shared" si="16"/>
        <v>301.65000000000003</v>
      </c>
      <c r="H224" s="262"/>
      <c r="I224" s="187"/>
      <c r="J224" s="187"/>
    </row>
    <row r="225" spans="1:11" s="18" customFormat="1" x14ac:dyDescent="0.25">
      <c r="A225" s="251" t="s">
        <v>801</v>
      </c>
      <c r="B225" s="252" t="s">
        <v>585</v>
      </c>
      <c r="C225" s="253" t="s">
        <v>584</v>
      </c>
      <c r="D225" s="253">
        <v>2</v>
      </c>
      <c r="E225" s="252" t="s">
        <v>168</v>
      </c>
      <c r="F225" s="253">
        <f>77.68+4.51</f>
        <v>82.190000000000012</v>
      </c>
      <c r="G225" s="261">
        <f t="shared" si="16"/>
        <v>164.38000000000002</v>
      </c>
      <c r="H225" s="262"/>
      <c r="I225" s="187"/>
      <c r="J225" s="187"/>
    </row>
    <row r="226" spans="1:11" s="18" customFormat="1" x14ac:dyDescent="0.25">
      <c r="A226" s="251" t="s">
        <v>802</v>
      </c>
      <c r="B226" s="252" t="s">
        <v>258</v>
      </c>
      <c r="C226" s="253" t="s">
        <v>259</v>
      </c>
      <c r="D226" s="253">
        <f>15+5</f>
        <v>20</v>
      </c>
      <c r="E226" s="252" t="s">
        <v>168</v>
      </c>
      <c r="F226" s="253">
        <f>25.06+1.46</f>
        <v>26.52</v>
      </c>
      <c r="G226" s="261">
        <f t="shared" si="16"/>
        <v>530.4</v>
      </c>
      <c r="H226" s="262"/>
      <c r="I226" s="187"/>
      <c r="J226" s="187"/>
    </row>
    <row r="227" spans="1:11" s="18" customFormat="1" x14ac:dyDescent="0.25">
      <c r="A227" s="251" t="s">
        <v>803</v>
      </c>
      <c r="B227" s="252" t="s">
        <v>260</v>
      </c>
      <c r="C227" s="253" t="s">
        <v>261</v>
      </c>
      <c r="D227" s="253">
        <f>5</f>
        <v>5</v>
      </c>
      <c r="E227" s="252" t="s">
        <v>168</v>
      </c>
      <c r="F227" s="253">
        <f>82.15+4.77</f>
        <v>86.92</v>
      </c>
      <c r="G227" s="261">
        <f t="shared" ref="G227:G230" si="17">D227*F227</f>
        <v>434.6</v>
      </c>
      <c r="H227" s="262"/>
      <c r="I227" s="187"/>
      <c r="J227" s="187"/>
    </row>
    <row r="228" spans="1:11" s="18" customFormat="1" x14ac:dyDescent="0.25">
      <c r="A228" s="251" t="s">
        <v>804</v>
      </c>
      <c r="B228" s="252" t="s">
        <v>588</v>
      </c>
      <c r="C228" s="253" t="s">
        <v>586</v>
      </c>
      <c r="D228" s="253">
        <v>8.07</v>
      </c>
      <c r="E228" s="252" t="s">
        <v>42</v>
      </c>
      <c r="F228" s="253">
        <f>693+40.25</f>
        <v>733.25</v>
      </c>
      <c r="G228" s="261">
        <f t="shared" si="17"/>
        <v>5917.3275000000003</v>
      </c>
      <c r="H228" s="262"/>
      <c r="I228" s="187"/>
      <c r="J228" s="187"/>
    </row>
    <row r="229" spans="1:11" s="18" customFormat="1" x14ac:dyDescent="0.25">
      <c r="A229" s="251" t="s">
        <v>805</v>
      </c>
      <c r="B229" s="252" t="s">
        <v>589</v>
      </c>
      <c r="C229" s="253" t="s">
        <v>587</v>
      </c>
      <c r="D229" s="253">
        <v>6.6</v>
      </c>
      <c r="E229" s="252" t="s">
        <v>42</v>
      </c>
      <c r="F229" s="253">
        <f>726.33+42.18</f>
        <v>768.51</v>
      </c>
      <c r="G229" s="261">
        <f t="shared" ref="G229" si="18">D229*F229</f>
        <v>5072.1659999999993</v>
      </c>
      <c r="H229" s="262"/>
      <c r="I229" s="187"/>
      <c r="J229" s="187"/>
    </row>
    <row r="230" spans="1:11" s="18" customFormat="1" x14ac:dyDescent="0.25">
      <c r="A230" s="251" t="s">
        <v>829</v>
      </c>
      <c r="B230" s="252" t="s">
        <v>830</v>
      </c>
      <c r="C230" s="253" t="s">
        <v>831</v>
      </c>
      <c r="D230" s="253">
        <v>10</v>
      </c>
      <c r="E230" s="252" t="s">
        <v>20</v>
      </c>
      <c r="F230" s="253">
        <f>295.35+17.15</f>
        <v>312.5</v>
      </c>
      <c r="G230" s="261">
        <f t="shared" si="17"/>
        <v>3125</v>
      </c>
      <c r="H230" s="262"/>
      <c r="I230" s="187"/>
      <c r="J230" s="187"/>
    </row>
    <row r="231" spans="1:11" s="19" customFormat="1" x14ac:dyDescent="0.25">
      <c r="A231" s="251"/>
      <c r="B231" s="252"/>
      <c r="C231" s="255" t="s">
        <v>271</v>
      </c>
      <c r="D231" s="253"/>
      <c r="E231" s="252"/>
      <c r="F231" s="253"/>
      <c r="G231" s="263">
        <f>SUM(G142:G230)</f>
        <v>77454.347500000018</v>
      </c>
      <c r="H231" s="256">
        <f>G231/$G$263</f>
        <v>4.8274132292380645E-2</v>
      </c>
      <c r="I231" s="187"/>
      <c r="J231" s="187"/>
      <c r="K231" s="18"/>
    </row>
    <row r="232" spans="1:11" s="18" customFormat="1" x14ac:dyDescent="0.25">
      <c r="A232" s="251"/>
      <c r="B232" s="252"/>
      <c r="C232" s="255"/>
      <c r="D232" s="253"/>
      <c r="E232" s="252"/>
      <c r="F232" s="253"/>
      <c r="G232" s="261"/>
      <c r="H232" s="262"/>
      <c r="I232" s="187"/>
      <c r="J232" s="187"/>
      <c r="K232" s="19"/>
    </row>
    <row r="233" spans="1:11" s="19" customFormat="1" x14ac:dyDescent="0.25">
      <c r="A233" s="251" t="s">
        <v>272</v>
      </c>
      <c r="B233" s="252"/>
      <c r="C233" s="255" t="s">
        <v>263</v>
      </c>
      <c r="D233" s="253"/>
      <c r="E233" s="252"/>
      <c r="F233" s="253"/>
      <c r="G233" s="263"/>
      <c r="H233" s="264"/>
      <c r="I233" s="187"/>
      <c r="J233" s="187"/>
      <c r="K233" s="18"/>
    </row>
    <row r="234" spans="1:11" s="18" customFormat="1" x14ac:dyDescent="0.25">
      <c r="A234" s="251" t="s">
        <v>273</v>
      </c>
      <c r="B234" s="252" t="s">
        <v>264</v>
      </c>
      <c r="C234" s="261" t="s">
        <v>265</v>
      </c>
      <c r="D234" s="253">
        <v>5</v>
      </c>
      <c r="E234" s="252" t="s">
        <v>247</v>
      </c>
      <c r="F234" s="253">
        <f>184.48+10.71</f>
        <v>195.19</v>
      </c>
      <c r="G234" s="261">
        <f>D234*F234</f>
        <v>975.95</v>
      </c>
      <c r="H234" s="262"/>
      <c r="I234" s="187"/>
      <c r="J234" s="187"/>
    </row>
    <row r="235" spans="1:11" s="18" customFormat="1" x14ac:dyDescent="0.25">
      <c r="A235" s="251" t="s">
        <v>590</v>
      </c>
      <c r="B235" s="252" t="s">
        <v>597</v>
      </c>
      <c r="C235" s="261" t="s">
        <v>596</v>
      </c>
      <c r="D235" s="253">
        <v>2</v>
      </c>
      <c r="E235" s="252" t="s">
        <v>247</v>
      </c>
      <c r="F235" s="253">
        <f>171.48+9.96</f>
        <v>181.44</v>
      </c>
      <c r="G235" s="261">
        <f>D235*F235</f>
        <v>362.88</v>
      </c>
      <c r="H235" s="262"/>
      <c r="I235" s="187"/>
      <c r="J235" s="187"/>
    </row>
    <row r="236" spans="1:11" s="18" customFormat="1" x14ac:dyDescent="0.25">
      <c r="A236" s="251" t="s">
        <v>591</v>
      </c>
      <c r="B236" s="252" t="s">
        <v>266</v>
      </c>
      <c r="C236" s="261" t="s">
        <v>598</v>
      </c>
      <c r="D236" s="253">
        <v>4</v>
      </c>
      <c r="E236" s="252" t="s">
        <v>247</v>
      </c>
      <c r="F236" s="253">
        <f>102.47+5.95</f>
        <v>108.42</v>
      </c>
      <c r="G236" s="261">
        <f t="shared" ref="G236:G249" si="19">D236*F236</f>
        <v>433.68</v>
      </c>
      <c r="H236" s="262"/>
      <c r="I236" s="187"/>
      <c r="J236" s="187"/>
    </row>
    <row r="237" spans="1:11" s="18" customFormat="1" x14ac:dyDescent="0.25">
      <c r="A237" s="251" t="s">
        <v>592</v>
      </c>
      <c r="B237" s="259">
        <v>96027</v>
      </c>
      <c r="C237" s="261" t="s">
        <v>599</v>
      </c>
      <c r="D237" s="253">
        <v>3</v>
      </c>
      <c r="E237" s="252" t="s">
        <v>247</v>
      </c>
      <c r="F237" s="253">
        <f>288+19.44</f>
        <v>307.44</v>
      </c>
      <c r="G237" s="261">
        <f t="shared" si="19"/>
        <v>922.31999999999994</v>
      </c>
      <c r="H237" s="262"/>
      <c r="I237" s="187"/>
      <c r="J237" s="187"/>
    </row>
    <row r="238" spans="1:11" s="18" customFormat="1" x14ac:dyDescent="0.25">
      <c r="A238" s="251" t="s">
        <v>593</v>
      </c>
      <c r="B238" s="252" t="s">
        <v>267</v>
      </c>
      <c r="C238" s="261" t="s">
        <v>600</v>
      </c>
      <c r="D238" s="253">
        <v>11</v>
      </c>
      <c r="E238" s="252" t="s">
        <v>247</v>
      </c>
      <c r="F238" s="253">
        <f>83.72+4.86</f>
        <v>88.58</v>
      </c>
      <c r="G238" s="261">
        <f t="shared" si="19"/>
        <v>974.38</v>
      </c>
      <c r="H238" s="262"/>
      <c r="I238" s="187"/>
      <c r="J238" s="187"/>
    </row>
    <row r="239" spans="1:11" s="18" customFormat="1" x14ac:dyDescent="0.25">
      <c r="A239" s="251" t="s">
        <v>594</v>
      </c>
      <c r="B239" s="252" t="s">
        <v>602</v>
      </c>
      <c r="C239" s="261" t="s">
        <v>601</v>
      </c>
      <c r="D239" s="253">
        <v>11</v>
      </c>
      <c r="E239" s="252" t="s">
        <v>247</v>
      </c>
      <c r="F239" s="253">
        <f>401.11+23.3</f>
        <v>424.41</v>
      </c>
      <c r="G239" s="261">
        <f t="shared" si="19"/>
        <v>4668.51</v>
      </c>
      <c r="H239" s="262"/>
      <c r="I239" s="187"/>
      <c r="J239" s="187"/>
    </row>
    <row r="240" spans="1:11" s="18" customFormat="1" x14ac:dyDescent="0.25">
      <c r="A240" s="251" t="s">
        <v>595</v>
      </c>
      <c r="B240" s="252" t="s">
        <v>860</v>
      </c>
      <c r="C240" s="261" t="s">
        <v>268</v>
      </c>
      <c r="D240" s="253">
        <v>2</v>
      </c>
      <c r="E240" s="252" t="s">
        <v>247</v>
      </c>
      <c r="F240" s="253">
        <f>87.76+5.1</f>
        <v>92.86</v>
      </c>
      <c r="G240" s="261">
        <f>F240*D240</f>
        <v>185.72</v>
      </c>
      <c r="H240" s="262"/>
      <c r="I240" s="187"/>
      <c r="J240" s="187"/>
      <c r="K240" s="290"/>
    </row>
    <row r="241" spans="1:11" s="18" customFormat="1" x14ac:dyDescent="0.25">
      <c r="A241" s="251" t="s">
        <v>603</v>
      </c>
      <c r="B241" s="252" t="s">
        <v>615</v>
      </c>
      <c r="C241" s="261" t="s">
        <v>610</v>
      </c>
      <c r="D241" s="253">
        <v>14</v>
      </c>
      <c r="E241" s="252" t="s">
        <v>247</v>
      </c>
      <c r="F241" s="253">
        <f>18.96+3.65</f>
        <v>22.61</v>
      </c>
      <c r="G241" s="261">
        <f>F241*D241</f>
        <v>316.53999999999996</v>
      </c>
      <c r="H241" s="262"/>
      <c r="I241" s="187"/>
      <c r="J241" s="187"/>
    </row>
    <row r="242" spans="1:11" s="18" customFormat="1" x14ac:dyDescent="0.25">
      <c r="A242" s="251" t="s">
        <v>604</v>
      </c>
      <c r="B242" s="252" t="s">
        <v>616</v>
      </c>
      <c r="C242" s="261" t="s">
        <v>614</v>
      </c>
      <c r="D242" s="253">
        <v>14</v>
      </c>
      <c r="E242" s="252" t="s">
        <v>247</v>
      </c>
      <c r="F242" s="253">
        <f>83.03+15.98</f>
        <v>99.01</v>
      </c>
      <c r="G242" s="261">
        <f t="shared" ref="G242:G248" si="20">F242*D242</f>
        <v>1386.14</v>
      </c>
      <c r="H242" s="262"/>
      <c r="I242" s="187"/>
      <c r="J242" s="187"/>
    </row>
    <row r="243" spans="1:11" s="18" customFormat="1" x14ac:dyDescent="0.25">
      <c r="A243" s="251" t="s">
        <v>605</v>
      </c>
      <c r="B243" s="252" t="s">
        <v>617</v>
      </c>
      <c r="C243" s="261" t="s">
        <v>611</v>
      </c>
      <c r="D243" s="253">
        <f>(195.55+3+2+2+2+2+2+3+3+2.5+2+5.5+5.5+2+3+4+2+2)+(14*4)</f>
        <v>299.05</v>
      </c>
      <c r="E243" s="252" t="s">
        <v>38</v>
      </c>
      <c r="F243" s="253">
        <f>23.68+4.56</f>
        <v>28.24</v>
      </c>
      <c r="G243" s="261">
        <f t="shared" si="20"/>
        <v>8445.1720000000005</v>
      </c>
      <c r="H243" s="262"/>
      <c r="I243" s="187"/>
      <c r="J243" s="187"/>
    </row>
    <row r="244" spans="1:11" s="18" customFormat="1" x14ac:dyDescent="0.25">
      <c r="A244" s="251" t="s">
        <v>606</v>
      </c>
      <c r="B244" s="252" t="s">
        <v>618</v>
      </c>
      <c r="C244" s="261" t="s">
        <v>612</v>
      </c>
      <c r="D244" s="253">
        <f>14*3</f>
        <v>42</v>
      </c>
      <c r="E244" s="252" t="s">
        <v>38</v>
      </c>
      <c r="F244" s="253">
        <f>9.83+1.89</f>
        <v>11.72</v>
      </c>
      <c r="G244" s="261">
        <f t="shared" si="20"/>
        <v>492.24</v>
      </c>
      <c r="H244" s="262"/>
      <c r="I244" s="187"/>
      <c r="J244" s="187"/>
    </row>
    <row r="245" spans="1:11" s="18" customFormat="1" x14ac:dyDescent="0.25">
      <c r="A245" s="251" t="s">
        <v>607</v>
      </c>
      <c r="B245" s="252" t="s">
        <v>619</v>
      </c>
      <c r="C245" s="261" t="s">
        <v>613</v>
      </c>
      <c r="D245" s="253">
        <f>(10*5)+(5.5*5)</f>
        <v>77.5</v>
      </c>
      <c r="E245" s="252" t="s">
        <v>38</v>
      </c>
      <c r="F245" s="253">
        <f>8.58+1.65</f>
        <v>10.23</v>
      </c>
      <c r="G245" s="261">
        <f t="shared" si="20"/>
        <v>792.82500000000005</v>
      </c>
      <c r="H245" s="262"/>
      <c r="I245" s="187"/>
      <c r="J245" s="187"/>
    </row>
    <row r="246" spans="1:11" s="18" customFormat="1" x14ac:dyDescent="0.25">
      <c r="A246" s="251" t="s">
        <v>608</v>
      </c>
      <c r="B246" s="259">
        <v>96028</v>
      </c>
      <c r="C246" s="261" t="s">
        <v>621</v>
      </c>
      <c r="D246" s="253">
        <v>43</v>
      </c>
      <c r="E246" s="252" t="s">
        <v>168</v>
      </c>
      <c r="F246" s="253">
        <f>12.5+0.84</f>
        <v>13.34</v>
      </c>
      <c r="G246" s="261">
        <f t="shared" si="20"/>
        <v>573.62</v>
      </c>
      <c r="H246" s="262"/>
      <c r="I246" s="187"/>
      <c r="J246" s="187"/>
    </row>
    <row r="247" spans="1:11" s="18" customFormat="1" x14ac:dyDescent="0.25">
      <c r="A247" s="251" t="s">
        <v>609</v>
      </c>
      <c r="B247" s="252" t="s">
        <v>622</v>
      </c>
      <c r="C247" s="261" t="s">
        <v>623</v>
      </c>
      <c r="D247" s="253">
        <f>14*3</f>
        <v>42</v>
      </c>
      <c r="E247" s="252" t="s">
        <v>168</v>
      </c>
      <c r="F247" s="253">
        <f>11.03+2.12</f>
        <v>13.149999999999999</v>
      </c>
      <c r="G247" s="261">
        <f t="shared" si="20"/>
        <v>552.29999999999995</v>
      </c>
      <c r="H247" s="262"/>
      <c r="I247" s="187"/>
      <c r="J247" s="187"/>
    </row>
    <row r="248" spans="1:11" s="18" customFormat="1" x14ac:dyDescent="0.25">
      <c r="A248" s="251" t="s">
        <v>620</v>
      </c>
      <c r="B248" s="252" t="s">
        <v>626</v>
      </c>
      <c r="C248" s="261" t="s">
        <v>625</v>
      </c>
      <c r="D248" s="253">
        <f>14*3</f>
        <v>42</v>
      </c>
      <c r="E248" s="252" t="s">
        <v>168</v>
      </c>
      <c r="F248" s="253">
        <f>16.95+3.26</f>
        <v>20.21</v>
      </c>
      <c r="G248" s="261">
        <f t="shared" si="20"/>
        <v>848.82</v>
      </c>
      <c r="H248" s="262"/>
      <c r="I248" s="187"/>
      <c r="J248" s="187"/>
    </row>
    <row r="249" spans="1:11" s="18" customFormat="1" x14ac:dyDescent="0.25">
      <c r="A249" s="251" t="s">
        <v>624</v>
      </c>
      <c r="B249" s="252" t="s">
        <v>269</v>
      </c>
      <c r="C249" s="261" t="s">
        <v>270</v>
      </c>
      <c r="D249" s="253">
        <v>1</v>
      </c>
      <c r="E249" s="252" t="s">
        <v>247</v>
      </c>
      <c r="F249" s="253">
        <f>1867.36+108.45</f>
        <v>1975.81</v>
      </c>
      <c r="G249" s="261">
        <f t="shared" si="19"/>
        <v>1975.81</v>
      </c>
      <c r="H249" s="262"/>
      <c r="I249" s="187"/>
      <c r="J249" s="187"/>
      <c r="K249" s="19"/>
    </row>
    <row r="250" spans="1:11" s="19" customFormat="1" x14ac:dyDescent="0.25">
      <c r="A250" s="251"/>
      <c r="B250" s="252"/>
      <c r="C250" s="255" t="s">
        <v>271</v>
      </c>
      <c r="D250" s="253"/>
      <c r="E250" s="252"/>
      <c r="F250" s="253"/>
      <c r="G250" s="263">
        <f>SUM(G234:G249)</f>
        <v>23906.907000000003</v>
      </c>
      <c r="H250" s="256">
        <f>G250/$G$263</f>
        <v>1.4900199000703489E-2</v>
      </c>
      <c r="I250" s="187"/>
      <c r="J250" s="187"/>
      <c r="K250" s="18"/>
    </row>
    <row r="251" spans="1:11" s="19" customFormat="1" x14ac:dyDescent="0.25">
      <c r="A251" s="251"/>
      <c r="B251" s="252"/>
      <c r="C251" s="255"/>
      <c r="D251" s="253"/>
      <c r="E251" s="252"/>
      <c r="F251" s="253"/>
      <c r="G251" s="263"/>
      <c r="H251" s="262"/>
      <c r="I251" s="187"/>
      <c r="J251" s="187"/>
      <c r="K251" s="18"/>
    </row>
    <row r="252" spans="1:11" s="19" customFormat="1" x14ac:dyDescent="0.25">
      <c r="A252" s="251" t="s">
        <v>274</v>
      </c>
      <c r="B252" s="252"/>
      <c r="C252" s="255" t="s">
        <v>275</v>
      </c>
      <c r="D252" s="253"/>
      <c r="E252" s="252"/>
      <c r="F252" s="253"/>
      <c r="G252" s="263"/>
      <c r="H252" s="262"/>
      <c r="I252" s="187"/>
      <c r="J252" s="187"/>
      <c r="K252" s="18"/>
    </row>
    <row r="253" spans="1:11" s="19" customFormat="1" x14ac:dyDescent="0.25">
      <c r="A253" s="251" t="s">
        <v>276</v>
      </c>
      <c r="B253" s="297" t="s">
        <v>924</v>
      </c>
      <c r="C253" s="258" t="s">
        <v>277</v>
      </c>
      <c r="D253" s="253">
        <f>1307.21+182.99</f>
        <v>1490.2</v>
      </c>
      <c r="E253" s="252" t="s">
        <v>16</v>
      </c>
      <c r="F253" s="253">
        <v>3.2</v>
      </c>
      <c r="G253" s="261">
        <f t="shared" ref="G253:G259" si="21">F253*D253</f>
        <v>4768.6400000000003</v>
      </c>
      <c r="H253" s="262"/>
      <c r="I253" s="187"/>
      <c r="J253" s="187"/>
      <c r="K253" s="18"/>
    </row>
    <row r="254" spans="1:11" s="19" customFormat="1" x14ac:dyDescent="0.25">
      <c r="A254" s="251" t="s">
        <v>627</v>
      </c>
      <c r="B254" s="252" t="s">
        <v>634</v>
      </c>
      <c r="C254" s="258" t="s">
        <v>633</v>
      </c>
      <c r="D254" s="253">
        <f>((43+22.5)*5)</f>
        <v>327.5</v>
      </c>
      <c r="E254" s="252" t="s">
        <v>16</v>
      </c>
      <c r="F254" s="253">
        <f>7.21+0.42</f>
        <v>7.63</v>
      </c>
      <c r="G254" s="261">
        <f t="shared" si="21"/>
        <v>2498.8249999999998</v>
      </c>
      <c r="H254" s="262"/>
      <c r="I254" s="187"/>
      <c r="J254" s="187"/>
      <c r="K254" s="18"/>
    </row>
    <row r="255" spans="1:11" s="19" customFormat="1" x14ac:dyDescent="0.25">
      <c r="A255" s="251" t="s">
        <v>628</v>
      </c>
      <c r="B255" s="252" t="s">
        <v>637</v>
      </c>
      <c r="C255" s="258" t="s">
        <v>635</v>
      </c>
      <c r="D255" s="253">
        <v>3</v>
      </c>
      <c r="E255" s="252" t="s">
        <v>20</v>
      </c>
      <c r="F255" s="253">
        <f>492.33+28.59</f>
        <v>520.91999999999996</v>
      </c>
      <c r="G255" s="261">
        <f t="shared" si="21"/>
        <v>1562.7599999999998</v>
      </c>
      <c r="H255" s="262"/>
      <c r="I255" s="187"/>
      <c r="J255" s="187"/>
      <c r="K255" s="18"/>
    </row>
    <row r="256" spans="1:11" s="19" customFormat="1" x14ac:dyDescent="0.25">
      <c r="A256" s="251" t="s">
        <v>629</v>
      </c>
      <c r="B256" s="252" t="s">
        <v>638</v>
      </c>
      <c r="C256" s="258" t="s">
        <v>640</v>
      </c>
      <c r="D256" s="253">
        <v>1</v>
      </c>
      <c r="E256" s="252" t="s">
        <v>639</v>
      </c>
      <c r="F256" s="253">
        <f>1218.75+70.78</f>
        <v>1289.53</v>
      </c>
      <c r="G256" s="261">
        <f t="shared" si="21"/>
        <v>1289.53</v>
      </c>
      <c r="H256" s="262"/>
      <c r="I256" s="187"/>
      <c r="J256" s="187"/>
      <c r="K256" s="18"/>
    </row>
    <row r="257" spans="1:11" s="19" customFormat="1" x14ac:dyDescent="0.25">
      <c r="A257" s="251" t="s">
        <v>630</v>
      </c>
      <c r="B257" s="252"/>
      <c r="C257" s="258" t="s">
        <v>644</v>
      </c>
      <c r="D257" s="265" t="s">
        <v>828</v>
      </c>
      <c r="E257" s="252" t="s">
        <v>828</v>
      </c>
      <c r="F257" s="265" t="s">
        <v>828</v>
      </c>
      <c r="G257" s="266" t="s">
        <v>828</v>
      </c>
      <c r="H257" s="262"/>
      <c r="I257" s="187"/>
      <c r="J257" s="187"/>
      <c r="K257" s="18"/>
    </row>
    <row r="258" spans="1:11" s="19" customFormat="1" x14ac:dyDescent="0.25">
      <c r="A258" s="251" t="s">
        <v>641</v>
      </c>
      <c r="B258" s="252" t="s">
        <v>643</v>
      </c>
      <c r="C258" s="258" t="s">
        <v>642</v>
      </c>
      <c r="D258" s="253">
        <v>2</v>
      </c>
      <c r="E258" s="252" t="s">
        <v>20</v>
      </c>
      <c r="F258" s="253">
        <f>3154.15+183.19</f>
        <v>3337.34</v>
      </c>
      <c r="G258" s="261">
        <f t="shared" si="21"/>
        <v>6674.68</v>
      </c>
      <c r="H258" s="262"/>
      <c r="I258" s="187"/>
      <c r="J258" s="187"/>
      <c r="K258" s="18"/>
    </row>
    <row r="259" spans="1:11" s="19" customFormat="1" x14ac:dyDescent="0.25">
      <c r="A259" s="251" t="s">
        <v>645</v>
      </c>
      <c r="B259" s="252" t="s">
        <v>861</v>
      </c>
      <c r="C259" s="258" t="s">
        <v>646</v>
      </c>
      <c r="D259" s="253">
        <v>2</v>
      </c>
      <c r="E259" s="252" t="s">
        <v>20</v>
      </c>
      <c r="F259" s="253">
        <f>150.28+8.73</f>
        <v>159.01</v>
      </c>
      <c r="G259" s="261">
        <f t="shared" si="21"/>
        <v>318.02</v>
      </c>
      <c r="H259" s="262"/>
      <c r="I259" s="187"/>
      <c r="J259" s="187"/>
      <c r="K259" s="18"/>
    </row>
    <row r="260" spans="1:11" s="19" customFormat="1" x14ac:dyDescent="0.25">
      <c r="A260" s="251" t="s">
        <v>631</v>
      </c>
      <c r="B260" s="252" t="s">
        <v>648</v>
      </c>
      <c r="C260" s="258" t="s">
        <v>647</v>
      </c>
      <c r="D260" s="253">
        <v>2</v>
      </c>
      <c r="E260" s="252" t="s">
        <v>20</v>
      </c>
      <c r="F260" s="253">
        <f>1832.76+106.44</f>
        <v>1939.2</v>
      </c>
      <c r="G260" s="261">
        <f t="shared" ref="G260:G261" si="22">F260*D260</f>
        <v>3878.4</v>
      </c>
      <c r="H260" s="262"/>
      <c r="I260" s="187"/>
      <c r="J260" s="187"/>
      <c r="K260" s="18"/>
    </row>
    <row r="261" spans="1:11" s="19" customFormat="1" x14ac:dyDescent="0.25">
      <c r="A261" s="251" t="s">
        <v>632</v>
      </c>
      <c r="B261" s="252" t="s">
        <v>716</v>
      </c>
      <c r="C261" s="258" t="s">
        <v>715</v>
      </c>
      <c r="D261" s="253">
        <f>((43+22.5)*1.2)</f>
        <v>78.599999999999994</v>
      </c>
      <c r="E261" s="252" t="s">
        <v>16</v>
      </c>
      <c r="F261" s="253">
        <f>182.54+35.13</f>
        <v>217.67</v>
      </c>
      <c r="G261" s="289">
        <f t="shared" si="22"/>
        <v>17108.861999999997</v>
      </c>
      <c r="H261" s="53"/>
      <c r="I261" s="187"/>
      <c r="J261" s="187"/>
      <c r="K261" s="18"/>
    </row>
    <row r="262" spans="1:11" s="19" customFormat="1" ht="15.75" thickBot="1" x14ac:dyDescent="0.3">
      <c r="A262" s="251"/>
      <c r="B262" s="252"/>
      <c r="C262" s="255" t="s">
        <v>649</v>
      </c>
      <c r="D262" s="253"/>
      <c r="E262" s="252"/>
      <c r="F262" s="253"/>
      <c r="G262" s="263">
        <f>SUM(G253:G261)</f>
        <v>38099.717000000004</v>
      </c>
      <c r="H262" s="256">
        <f>G262/$G$263</f>
        <v>2.3745997973325689E-2</v>
      </c>
      <c r="I262" s="187"/>
      <c r="J262" s="187"/>
      <c r="K262" s="18"/>
    </row>
    <row r="263" spans="1:11" s="18" customFormat="1" ht="15.75" thickBot="1" x14ac:dyDescent="0.3">
      <c r="A263" s="269"/>
      <c r="B263" s="270"/>
      <c r="C263" s="271" t="s">
        <v>278</v>
      </c>
      <c r="D263" s="272"/>
      <c r="E263" s="270"/>
      <c r="F263" s="272"/>
      <c r="G263" s="271">
        <f>G16+G26+G36+G42+G50+G60+G68+G77+G89+G138+G231+G250+G262</f>
        <v>1604468.9737949995</v>
      </c>
      <c r="H263" s="273">
        <f>SUM(H10:H262)</f>
        <v>1.0000000000000002</v>
      </c>
      <c r="I263" s="187"/>
      <c r="J263" s="187"/>
    </row>
    <row r="264" spans="1:11" s="18" customFormat="1" x14ac:dyDescent="0.25">
      <c r="A264" s="301" t="s">
        <v>809</v>
      </c>
      <c r="B264" s="302"/>
      <c r="C264" s="302"/>
      <c r="D264" s="302"/>
      <c r="E264" s="302"/>
      <c r="F264" s="302"/>
      <c r="G264" s="302"/>
      <c r="H264" s="302"/>
    </row>
    <row r="265" spans="1:11" s="18" customFormat="1" x14ac:dyDescent="0.25">
      <c r="A265" s="301" t="s">
        <v>835</v>
      </c>
      <c r="B265" s="302"/>
      <c r="C265" s="302"/>
      <c r="D265" s="302"/>
      <c r="E265" s="302"/>
      <c r="F265" s="302"/>
      <c r="G265" s="302"/>
      <c r="H265" s="302"/>
    </row>
    <row r="266" spans="1:11" s="18" customFormat="1" x14ac:dyDescent="0.25">
      <c r="A266" s="301" t="s">
        <v>807</v>
      </c>
      <c r="B266" s="302"/>
      <c r="C266" s="302"/>
      <c r="D266" s="302"/>
      <c r="E266" s="302"/>
      <c r="F266" s="302"/>
      <c r="G266" s="302"/>
      <c r="H266" s="302"/>
    </row>
    <row r="267" spans="1:11" s="18" customFormat="1" ht="16.5" customHeight="1" x14ac:dyDescent="0.25">
      <c r="A267" s="301" t="s">
        <v>837</v>
      </c>
      <c r="B267" s="301"/>
      <c r="C267" s="301"/>
      <c r="D267" s="301"/>
      <c r="E267" s="301"/>
      <c r="F267" s="301"/>
      <c r="G267" s="301"/>
      <c r="H267" s="301"/>
    </row>
    <row r="268" spans="1:11" s="18" customFormat="1" ht="16.5" customHeight="1" x14ac:dyDescent="0.25">
      <c r="A268" s="275" t="s">
        <v>808</v>
      </c>
      <c r="B268" s="276"/>
      <c r="C268" s="276"/>
      <c r="D268" s="276"/>
      <c r="E268" s="276"/>
      <c r="F268" s="276"/>
      <c r="G268" s="276"/>
      <c r="H268" s="276"/>
    </row>
    <row r="269" spans="1:11" s="18" customFormat="1" x14ac:dyDescent="0.25">
      <c r="A269" s="301" t="s">
        <v>834</v>
      </c>
      <c r="B269" s="301"/>
      <c r="C269" s="301"/>
      <c r="D269" s="301"/>
      <c r="E269" s="301"/>
      <c r="F269" s="301"/>
      <c r="G269" s="301"/>
      <c r="H269" s="301"/>
    </row>
    <row r="270" spans="1:11" s="18" customFormat="1" x14ac:dyDescent="0.25">
      <c r="B270" s="277"/>
      <c r="D270" s="187"/>
      <c r="E270" s="278"/>
      <c r="F270" s="187"/>
      <c r="G270" s="187"/>
      <c r="H270" s="278"/>
    </row>
    <row r="271" spans="1:11" x14ac:dyDescent="0.25">
      <c r="A271" s="1" t="s">
        <v>925</v>
      </c>
      <c r="B271" s="17"/>
      <c r="C271" s="1"/>
      <c r="D271" s="1"/>
      <c r="E271" s="17"/>
      <c r="F271" s="1"/>
      <c r="G271" s="1"/>
      <c r="H271" s="17"/>
    </row>
    <row r="272" spans="1:11" hidden="1" x14ac:dyDescent="0.25">
      <c r="A272" s="1"/>
      <c r="B272" s="17"/>
      <c r="C272" s="1"/>
      <c r="D272" s="1"/>
      <c r="E272" s="17"/>
      <c r="F272" s="1"/>
      <c r="G272" s="1"/>
      <c r="H272" s="17"/>
    </row>
    <row r="273" spans="1:8" x14ac:dyDescent="0.25">
      <c r="A273" s="309" t="s">
        <v>928</v>
      </c>
      <c r="B273" s="309"/>
      <c r="C273" s="300" t="s">
        <v>927</v>
      </c>
      <c r="D273" s="1"/>
      <c r="E273" s="17"/>
      <c r="F273" s="1"/>
      <c r="G273" s="1"/>
      <c r="H273" s="17"/>
    </row>
    <row r="274" spans="1:8" x14ac:dyDescent="0.25">
      <c r="A274" s="304" t="s">
        <v>856</v>
      </c>
      <c r="B274" s="304"/>
      <c r="C274" s="298">
        <v>1.1924721</v>
      </c>
      <c r="D274" s="1"/>
      <c r="E274" s="17"/>
      <c r="F274" s="1"/>
      <c r="G274" s="1"/>
      <c r="H274" s="17"/>
    </row>
    <row r="275" spans="1:8" hidden="1" x14ac:dyDescent="0.25">
      <c r="A275" s="304" t="s">
        <v>926</v>
      </c>
      <c r="B275" s="304"/>
      <c r="C275" s="298">
        <v>1.0674878000000001</v>
      </c>
      <c r="D275" s="1"/>
      <c r="E275" s="17"/>
      <c r="F275" s="1"/>
      <c r="G275" s="1"/>
      <c r="H275" s="17"/>
    </row>
    <row r="276" spans="1:8" x14ac:dyDescent="0.25">
      <c r="A276" s="310" t="s">
        <v>832</v>
      </c>
      <c r="B276" s="310"/>
      <c r="C276" s="298">
        <v>1.0580784000000001</v>
      </c>
      <c r="D276" s="1"/>
      <c r="E276" s="17"/>
      <c r="F276" s="1"/>
      <c r="G276" s="1"/>
      <c r="H276" s="17"/>
    </row>
    <row r="277" spans="1:8" x14ac:dyDescent="0.25">
      <c r="A277" s="1"/>
      <c r="C277" s="299"/>
      <c r="D277" s="1"/>
      <c r="E277" s="17"/>
      <c r="F277" s="1"/>
      <c r="G277" s="1"/>
      <c r="H277" s="17"/>
    </row>
    <row r="278" spans="1:8" x14ac:dyDescent="0.25">
      <c r="A278" s="1"/>
      <c r="B278" s="17"/>
      <c r="C278" s="1"/>
      <c r="D278" s="1"/>
      <c r="E278" s="17"/>
      <c r="F278" s="1"/>
      <c r="G278" s="1"/>
      <c r="H278" s="17"/>
    </row>
    <row r="279" spans="1:8" x14ac:dyDescent="0.25">
      <c r="A279" s="1"/>
      <c r="B279" s="17"/>
      <c r="C279" s="1"/>
      <c r="D279" s="1"/>
      <c r="E279" s="17"/>
      <c r="F279" s="1"/>
      <c r="G279" s="1"/>
      <c r="H279" s="17"/>
    </row>
    <row r="280" spans="1:8" x14ac:dyDescent="0.25">
      <c r="A280" s="1"/>
      <c r="B280" s="17"/>
      <c r="C280" s="1"/>
      <c r="D280" s="1"/>
      <c r="E280" s="17"/>
      <c r="F280" s="1"/>
      <c r="G280" s="1"/>
      <c r="H280" s="17"/>
    </row>
    <row r="281" spans="1:8" x14ac:dyDescent="0.25">
      <c r="A281" s="1"/>
      <c r="B281" s="17"/>
      <c r="C281" s="1"/>
      <c r="D281" s="1"/>
      <c r="E281" s="17"/>
      <c r="F281" s="1"/>
      <c r="G281" s="1"/>
      <c r="H281" s="17"/>
    </row>
    <row r="282" spans="1:8" x14ac:dyDescent="0.25">
      <c r="A282" s="1"/>
      <c r="B282" s="17"/>
      <c r="C282" s="1"/>
      <c r="D282" s="1"/>
      <c r="E282" s="17"/>
      <c r="F282" s="1"/>
      <c r="G282" s="1"/>
      <c r="H282" s="17"/>
    </row>
    <row r="283" spans="1:8" x14ac:dyDescent="0.25">
      <c r="A283" s="1"/>
      <c r="B283" s="17"/>
      <c r="C283" s="1"/>
      <c r="D283" s="1"/>
      <c r="E283" s="17"/>
      <c r="F283" s="1"/>
      <c r="G283" s="1"/>
      <c r="H283" s="17"/>
    </row>
    <row r="284" spans="1:8" x14ac:dyDescent="0.25">
      <c r="A284" s="1"/>
      <c r="B284" s="17"/>
      <c r="C284" s="1"/>
      <c r="D284" s="1"/>
      <c r="E284" s="17"/>
      <c r="F284" s="1"/>
      <c r="G284" s="1"/>
      <c r="H284" s="17"/>
    </row>
    <row r="285" spans="1:8" x14ac:dyDescent="0.25">
      <c r="A285" s="1"/>
      <c r="B285" s="17"/>
      <c r="C285" s="1"/>
      <c r="D285" s="1"/>
      <c r="E285" s="17"/>
      <c r="F285" s="1"/>
      <c r="G285" s="1"/>
      <c r="H285" s="17"/>
    </row>
    <row r="286" spans="1:8" x14ac:dyDescent="0.25">
      <c r="A286" s="1"/>
      <c r="B286" s="17"/>
      <c r="C286" s="1"/>
      <c r="D286" s="1"/>
      <c r="E286" s="17"/>
      <c r="F286" s="1"/>
      <c r="G286" s="1"/>
      <c r="H286" s="17"/>
    </row>
    <row r="287" spans="1:8" x14ac:dyDescent="0.25">
      <c r="A287" s="1"/>
      <c r="B287" s="17"/>
      <c r="C287" s="1"/>
      <c r="D287" s="1"/>
      <c r="E287" s="17"/>
      <c r="F287" s="1"/>
      <c r="G287" s="1"/>
      <c r="H287" s="17"/>
    </row>
    <row r="288" spans="1:8" x14ac:dyDescent="0.25">
      <c r="A288" s="1"/>
      <c r="B288" s="17"/>
      <c r="C288" s="1"/>
      <c r="D288" s="1"/>
      <c r="E288" s="17"/>
      <c r="F288" s="1"/>
      <c r="G288" s="1"/>
      <c r="H288" s="17"/>
    </row>
    <row r="289" spans="1:8" x14ac:dyDescent="0.25">
      <c r="A289" s="1"/>
      <c r="B289" s="17"/>
      <c r="C289" s="1"/>
      <c r="D289" s="1"/>
      <c r="E289" s="17"/>
      <c r="F289" s="1"/>
      <c r="G289" s="1"/>
      <c r="H289" s="17"/>
    </row>
    <row r="290" spans="1:8" x14ac:dyDescent="0.25">
      <c r="A290" s="1"/>
      <c r="B290" s="17"/>
      <c r="C290" s="1"/>
      <c r="D290" s="1"/>
      <c r="E290" s="17"/>
      <c r="F290" s="1"/>
      <c r="G290" s="1"/>
      <c r="H290" s="17"/>
    </row>
    <row r="291" spans="1:8" x14ac:dyDescent="0.25">
      <c r="A291" s="1"/>
      <c r="B291" s="17"/>
      <c r="C291" s="1"/>
      <c r="D291" s="1"/>
      <c r="E291" s="17"/>
      <c r="F291" s="1"/>
      <c r="G291" s="1"/>
      <c r="H291" s="17"/>
    </row>
    <row r="292" spans="1:8" x14ac:dyDescent="0.25">
      <c r="A292" s="1"/>
      <c r="B292" s="17"/>
      <c r="C292" s="1"/>
      <c r="D292" s="1"/>
      <c r="E292" s="17"/>
      <c r="F292" s="1"/>
      <c r="G292" s="1"/>
      <c r="H292" s="17"/>
    </row>
    <row r="293" spans="1:8" x14ac:dyDescent="0.25">
      <c r="A293" s="1"/>
      <c r="B293" s="17"/>
      <c r="C293" s="1"/>
      <c r="D293" s="1"/>
      <c r="E293" s="17"/>
      <c r="F293" s="1"/>
      <c r="G293" s="1"/>
      <c r="H293" s="17"/>
    </row>
    <row r="294" spans="1:8" x14ac:dyDescent="0.25">
      <c r="A294" s="1"/>
      <c r="B294" s="17"/>
      <c r="C294" s="1"/>
      <c r="D294" s="1"/>
      <c r="E294" s="17"/>
      <c r="F294" s="1"/>
      <c r="G294" s="1"/>
      <c r="H294" s="17"/>
    </row>
    <row r="295" spans="1:8" x14ac:dyDescent="0.25">
      <c r="A295" s="1"/>
      <c r="B295" s="17"/>
      <c r="C295" s="1"/>
      <c r="D295" s="1"/>
      <c r="E295" s="17"/>
      <c r="F295" s="1"/>
      <c r="G295" s="1"/>
      <c r="H295" s="17"/>
    </row>
    <row r="296" spans="1:8" x14ac:dyDescent="0.25">
      <c r="A296" s="1"/>
      <c r="B296" s="17"/>
      <c r="C296" s="1"/>
      <c r="D296" s="1"/>
      <c r="E296" s="17"/>
      <c r="F296" s="1"/>
      <c r="G296" s="1"/>
      <c r="H296" s="17"/>
    </row>
    <row r="297" spans="1:8" x14ac:dyDescent="0.25">
      <c r="A297" s="1"/>
      <c r="B297" s="17"/>
      <c r="C297" s="1"/>
      <c r="D297" s="1"/>
      <c r="E297" s="17"/>
      <c r="F297" s="1"/>
      <c r="G297" s="1"/>
      <c r="H297" s="17"/>
    </row>
    <row r="298" spans="1:8" x14ac:dyDescent="0.25">
      <c r="A298" s="1"/>
      <c r="B298" s="17"/>
      <c r="C298" s="1"/>
      <c r="D298" s="1"/>
      <c r="E298" s="17"/>
      <c r="F298" s="1"/>
      <c r="G298" s="1"/>
      <c r="H298" s="17"/>
    </row>
    <row r="299" spans="1:8" x14ac:dyDescent="0.25">
      <c r="A299" s="1"/>
      <c r="B299" s="17"/>
      <c r="C299" s="1"/>
      <c r="D299" s="1"/>
      <c r="E299" s="17"/>
      <c r="F299" s="1"/>
      <c r="G299" s="1"/>
      <c r="H299" s="17"/>
    </row>
    <row r="300" spans="1:8" x14ac:dyDescent="0.25">
      <c r="A300" s="1"/>
      <c r="B300" s="17"/>
      <c r="C300" s="1"/>
      <c r="D300" s="1"/>
      <c r="E300" s="17"/>
      <c r="F300" s="1"/>
      <c r="G300" s="1"/>
      <c r="H300" s="17"/>
    </row>
    <row r="301" spans="1:8" x14ac:dyDescent="0.25">
      <c r="A301" s="1"/>
      <c r="B301" s="17"/>
      <c r="C301" s="1"/>
      <c r="D301" s="1"/>
      <c r="E301" s="17"/>
      <c r="F301" s="1"/>
      <c r="G301" s="1"/>
      <c r="H301" s="17"/>
    </row>
    <row r="302" spans="1:8" x14ac:dyDescent="0.25">
      <c r="A302" s="1"/>
      <c r="B302" s="17"/>
      <c r="C302" s="1"/>
      <c r="D302" s="1"/>
      <c r="E302" s="17"/>
      <c r="F302" s="1"/>
      <c r="G302" s="1"/>
      <c r="H302" s="17"/>
    </row>
    <row r="303" spans="1:8" x14ac:dyDescent="0.25">
      <c r="A303" s="1"/>
      <c r="B303" s="17"/>
      <c r="C303" s="1"/>
      <c r="D303" s="1"/>
      <c r="E303" s="17"/>
      <c r="F303" s="1"/>
      <c r="G303" s="1"/>
      <c r="H303" s="17"/>
    </row>
    <row r="304" spans="1:8" x14ac:dyDescent="0.25">
      <c r="A304" s="1"/>
      <c r="B304" s="17"/>
      <c r="C304" s="1"/>
      <c r="D304" s="1"/>
      <c r="E304" s="17"/>
      <c r="F304" s="1"/>
      <c r="G304" s="1"/>
      <c r="H304" s="17"/>
    </row>
    <row r="305" spans="1:8" x14ac:dyDescent="0.25">
      <c r="A305" s="1"/>
      <c r="B305" s="17"/>
      <c r="C305" s="1"/>
      <c r="D305" s="1"/>
      <c r="E305" s="17"/>
      <c r="F305" s="1"/>
      <c r="G305" s="1"/>
      <c r="H305" s="17"/>
    </row>
    <row r="306" spans="1:8" x14ac:dyDescent="0.25">
      <c r="A306" s="1"/>
      <c r="B306" s="17"/>
      <c r="C306" s="1"/>
      <c r="D306" s="1"/>
      <c r="E306" s="17"/>
      <c r="F306" s="1"/>
      <c r="G306" s="1"/>
      <c r="H306" s="17"/>
    </row>
    <row r="307" spans="1:8" x14ac:dyDescent="0.25">
      <c r="A307" s="1"/>
      <c r="B307" s="17"/>
      <c r="C307" s="1"/>
      <c r="D307" s="1"/>
      <c r="E307" s="17"/>
      <c r="F307" s="1"/>
      <c r="G307" s="1"/>
      <c r="H307" s="17"/>
    </row>
    <row r="308" spans="1:8" x14ac:dyDescent="0.25">
      <c r="A308" s="1"/>
      <c r="B308" s="17"/>
      <c r="C308" s="1"/>
      <c r="D308" s="1"/>
      <c r="E308" s="17"/>
      <c r="F308" s="1"/>
      <c r="G308" s="1"/>
      <c r="H308" s="17"/>
    </row>
    <row r="309" spans="1:8" x14ac:dyDescent="0.25">
      <c r="A309" s="1"/>
      <c r="B309" s="17"/>
      <c r="C309" s="1"/>
      <c r="D309" s="1"/>
      <c r="E309" s="17"/>
      <c r="F309" s="1"/>
      <c r="G309" s="1"/>
      <c r="H309" s="17"/>
    </row>
    <row r="310" spans="1:8" x14ac:dyDescent="0.25">
      <c r="A310" s="1"/>
      <c r="B310" s="17"/>
      <c r="C310" s="1"/>
      <c r="D310" s="1"/>
      <c r="E310" s="17"/>
      <c r="F310" s="1"/>
      <c r="G310" s="1"/>
      <c r="H310" s="17"/>
    </row>
    <row r="311" spans="1:8" x14ac:dyDescent="0.25">
      <c r="A311" s="1"/>
      <c r="B311" s="17"/>
      <c r="C311" s="1"/>
      <c r="D311" s="1"/>
      <c r="E311" s="17"/>
      <c r="F311" s="1"/>
      <c r="G311" s="1"/>
      <c r="H311" s="17"/>
    </row>
    <row r="312" spans="1:8" x14ac:dyDescent="0.25">
      <c r="A312" s="1"/>
      <c r="B312" s="17"/>
      <c r="C312" s="1"/>
      <c r="D312" s="1"/>
      <c r="E312" s="17"/>
      <c r="F312" s="1"/>
      <c r="G312" s="1"/>
      <c r="H312" s="17"/>
    </row>
    <row r="313" spans="1:8" x14ac:dyDescent="0.25">
      <c r="A313" s="1"/>
      <c r="B313" s="17"/>
      <c r="C313" s="1"/>
      <c r="D313" s="1"/>
      <c r="E313" s="17"/>
      <c r="F313" s="1"/>
      <c r="G313" s="1"/>
      <c r="H313" s="17"/>
    </row>
    <row r="314" spans="1:8" x14ac:dyDescent="0.25">
      <c r="A314" s="1"/>
      <c r="B314" s="17"/>
      <c r="C314" s="1"/>
      <c r="D314" s="1"/>
      <c r="E314" s="17"/>
      <c r="F314" s="1"/>
      <c r="G314" s="1"/>
      <c r="H314" s="17"/>
    </row>
    <row r="315" spans="1:8" x14ac:dyDescent="0.25">
      <c r="A315" s="1"/>
      <c r="B315" s="17"/>
      <c r="C315" s="1"/>
      <c r="D315" s="1"/>
      <c r="E315" s="17"/>
      <c r="F315" s="1"/>
      <c r="G315" s="1"/>
      <c r="H315" s="17"/>
    </row>
    <row r="316" spans="1:8" x14ac:dyDescent="0.25">
      <c r="A316" s="1"/>
      <c r="B316" s="17"/>
      <c r="C316" s="1"/>
      <c r="D316" s="1"/>
      <c r="E316" s="17"/>
      <c r="F316" s="1"/>
      <c r="G316" s="1"/>
      <c r="H316" s="17"/>
    </row>
    <row r="317" spans="1:8" x14ac:dyDescent="0.25">
      <c r="A317" s="1"/>
      <c r="B317" s="17"/>
      <c r="C317" s="1"/>
      <c r="D317" s="1"/>
      <c r="E317" s="17"/>
      <c r="F317" s="1"/>
      <c r="G317" s="1"/>
      <c r="H317" s="17"/>
    </row>
    <row r="318" spans="1:8" x14ac:dyDescent="0.25">
      <c r="A318" s="1"/>
      <c r="B318" s="17"/>
      <c r="C318" s="1"/>
      <c r="D318" s="1"/>
      <c r="E318" s="17"/>
      <c r="F318" s="1"/>
      <c r="G318" s="1"/>
      <c r="H318" s="17"/>
    </row>
    <row r="319" spans="1:8" x14ac:dyDescent="0.25">
      <c r="A319" s="1"/>
      <c r="B319" s="17"/>
      <c r="C319" s="1"/>
      <c r="D319" s="1"/>
      <c r="E319" s="17"/>
      <c r="F319" s="1"/>
      <c r="G319" s="1"/>
      <c r="H319" s="17"/>
    </row>
    <row r="320" spans="1:8" x14ac:dyDescent="0.25">
      <c r="A320" s="1"/>
      <c r="B320" s="17"/>
      <c r="C320" s="1"/>
      <c r="D320" s="1"/>
      <c r="E320" s="17"/>
      <c r="F320" s="1"/>
      <c r="G320" s="1"/>
      <c r="H320" s="17"/>
    </row>
    <row r="321" spans="1:8" x14ac:dyDescent="0.25">
      <c r="A321" s="1"/>
      <c r="B321" s="17"/>
      <c r="C321" s="1"/>
      <c r="D321" s="1"/>
      <c r="E321" s="17"/>
      <c r="F321" s="1"/>
      <c r="G321" s="1"/>
      <c r="H321" s="17"/>
    </row>
    <row r="322" spans="1:8" x14ac:dyDescent="0.25">
      <c r="A322" s="1"/>
      <c r="B322" s="17"/>
      <c r="C322" s="1"/>
      <c r="D322" s="1"/>
      <c r="E322" s="17"/>
      <c r="F322" s="1"/>
      <c r="G322" s="1"/>
      <c r="H322" s="17"/>
    </row>
    <row r="323" spans="1:8" x14ac:dyDescent="0.25">
      <c r="A323" s="1"/>
      <c r="B323" s="17"/>
      <c r="C323" s="1"/>
      <c r="D323" s="1"/>
      <c r="E323" s="17"/>
      <c r="F323" s="1"/>
      <c r="G323" s="1"/>
      <c r="H323" s="17"/>
    </row>
    <row r="324" spans="1:8" x14ac:dyDescent="0.25">
      <c r="A324" s="1"/>
      <c r="B324" s="17"/>
      <c r="C324" s="1"/>
      <c r="D324" s="1"/>
      <c r="E324" s="17"/>
      <c r="F324" s="1"/>
      <c r="G324" s="1"/>
      <c r="H324" s="17"/>
    </row>
    <row r="325" spans="1:8" x14ac:dyDescent="0.25">
      <c r="A325" s="1"/>
      <c r="B325" s="17"/>
      <c r="C325" s="1"/>
      <c r="D325" s="1"/>
      <c r="E325" s="17"/>
      <c r="F325" s="1"/>
      <c r="G325" s="1"/>
      <c r="H325" s="17"/>
    </row>
    <row r="326" spans="1:8" x14ac:dyDescent="0.25">
      <c r="A326" s="1"/>
      <c r="B326" s="17"/>
      <c r="C326" s="1"/>
      <c r="D326" s="1"/>
      <c r="E326" s="17"/>
      <c r="F326" s="1"/>
      <c r="G326" s="1"/>
      <c r="H326" s="17"/>
    </row>
    <row r="327" spans="1:8" x14ac:dyDescent="0.25">
      <c r="A327" s="1"/>
      <c r="B327" s="17"/>
      <c r="C327" s="1"/>
      <c r="D327" s="1"/>
      <c r="E327" s="17"/>
      <c r="F327" s="1"/>
      <c r="G327" s="1"/>
      <c r="H327" s="17"/>
    </row>
    <row r="328" spans="1:8" x14ac:dyDescent="0.25">
      <c r="A328" s="1"/>
      <c r="B328" s="17"/>
      <c r="C328" s="1"/>
      <c r="D328" s="1"/>
      <c r="E328" s="17"/>
      <c r="F328" s="1"/>
      <c r="G328" s="1"/>
      <c r="H328" s="17"/>
    </row>
    <row r="329" spans="1:8" x14ac:dyDescent="0.25">
      <c r="A329" s="1"/>
      <c r="B329" s="17"/>
      <c r="C329" s="1"/>
      <c r="D329" s="1"/>
      <c r="E329" s="17"/>
      <c r="F329" s="1"/>
      <c r="G329" s="1"/>
      <c r="H329" s="17"/>
    </row>
    <row r="330" spans="1:8" x14ac:dyDescent="0.25">
      <c r="A330" s="1"/>
      <c r="B330" s="17"/>
      <c r="C330" s="1"/>
      <c r="D330" s="1"/>
      <c r="E330" s="17"/>
      <c r="F330" s="1"/>
      <c r="G330" s="1"/>
      <c r="H330" s="17"/>
    </row>
    <row r="331" spans="1:8" x14ac:dyDescent="0.25">
      <c r="A331" s="1"/>
      <c r="B331" s="17"/>
      <c r="C331" s="1"/>
      <c r="D331" s="1"/>
      <c r="E331" s="17"/>
      <c r="F331" s="1"/>
      <c r="G331" s="1"/>
      <c r="H331" s="17"/>
    </row>
    <row r="332" spans="1:8" x14ac:dyDescent="0.25">
      <c r="A332" s="1"/>
      <c r="B332" s="17"/>
      <c r="C332" s="1"/>
      <c r="D332" s="1"/>
      <c r="E332" s="17"/>
      <c r="F332" s="1"/>
      <c r="G332" s="1"/>
      <c r="H332" s="17"/>
    </row>
    <row r="333" spans="1:8" x14ac:dyDescent="0.25">
      <c r="A333" s="1"/>
      <c r="B333" s="17"/>
      <c r="C333" s="1"/>
      <c r="D333" s="1"/>
      <c r="E333" s="17"/>
      <c r="F333" s="1"/>
      <c r="G333" s="1"/>
      <c r="H333" s="17"/>
    </row>
    <row r="334" spans="1:8" x14ac:dyDescent="0.25">
      <c r="A334" s="1"/>
      <c r="B334" s="17"/>
      <c r="C334" s="1"/>
      <c r="D334" s="1"/>
      <c r="E334" s="17"/>
      <c r="F334" s="1"/>
      <c r="G334" s="1"/>
      <c r="H334" s="17"/>
    </row>
    <row r="335" spans="1:8" x14ac:dyDescent="0.25">
      <c r="A335" s="1"/>
      <c r="B335" s="17"/>
      <c r="C335" s="1"/>
      <c r="D335" s="1"/>
      <c r="E335" s="17"/>
      <c r="F335" s="1"/>
      <c r="G335" s="1"/>
      <c r="H335" s="17"/>
    </row>
    <row r="336" spans="1:8" x14ac:dyDescent="0.25">
      <c r="A336" s="1"/>
      <c r="B336" s="17"/>
      <c r="C336" s="1"/>
      <c r="D336" s="1"/>
      <c r="E336" s="17"/>
      <c r="F336" s="1"/>
      <c r="G336" s="1"/>
      <c r="H336" s="17"/>
    </row>
    <row r="337" spans="1:8" x14ac:dyDescent="0.25">
      <c r="A337" s="1"/>
      <c r="B337" s="17"/>
      <c r="C337" s="1"/>
      <c r="D337" s="1"/>
      <c r="E337" s="17"/>
      <c r="F337" s="1"/>
      <c r="G337" s="1"/>
      <c r="H337" s="17"/>
    </row>
    <row r="338" spans="1:8" x14ac:dyDescent="0.25">
      <c r="A338" s="1"/>
      <c r="B338" s="17"/>
      <c r="C338" s="1"/>
      <c r="D338" s="1"/>
      <c r="E338" s="17"/>
      <c r="F338" s="1"/>
      <c r="G338" s="1"/>
      <c r="H338" s="17"/>
    </row>
    <row r="339" spans="1:8" x14ac:dyDescent="0.25">
      <c r="A339" s="1"/>
      <c r="B339" s="17"/>
      <c r="C339" s="1"/>
      <c r="D339" s="1"/>
      <c r="E339" s="17"/>
      <c r="F339" s="1"/>
      <c r="G339" s="1"/>
      <c r="H339" s="17"/>
    </row>
    <row r="340" spans="1:8" x14ac:dyDescent="0.25">
      <c r="A340" s="1"/>
      <c r="B340" s="17"/>
      <c r="C340" s="1"/>
      <c r="D340" s="1"/>
      <c r="E340" s="17"/>
      <c r="F340" s="1"/>
      <c r="G340" s="1"/>
      <c r="H340" s="17"/>
    </row>
    <row r="341" spans="1:8" x14ac:dyDescent="0.25">
      <c r="A341" s="1"/>
      <c r="B341" s="17"/>
      <c r="C341" s="1"/>
      <c r="D341" s="1"/>
      <c r="E341" s="17"/>
      <c r="F341" s="1"/>
      <c r="G341" s="1"/>
      <c r="H341" s="17"/>
    </row>
    <row r="342" spans="1:8" x14ac:dyDescent="0.25">
      <c r="A342" s="1"/>
      <c r="B342" s="17"/>
      <c r="C342" s="1"/>
      <c r="D342" s="1"/>
      <c r="E342" s="17"/>
      <c r="F342" s="1"/>
      <c r="G342" s="1"/>
      <c r="H342" s="17"/>
    </row>
    <row r="343" spans="1:8" x14ac:dyDescent="0.25">
      <c r="A343" s="1"/>
      <c r="B343" s="17"/>
      <c r="C343" s="1"/>
      <c r="D343" s="1"/>
      <c r="E343" s="17"/>
      <c r="F343" s="1"/>
      <c r="G343" s="1"/>
      <c r="H343" s="17"/>
    </row>
    <row r="344" spans="1:8" x14ac:dyDescent="0.25">
      <c r="A344" s="1"/>
      <c r="B344" s="17"/>
      <c r="C344" s="1"/>
      <c r="D344" s="1"/>
      <c r="E344" s="17"/>
      <c r="F344" s="1"/>
      <c r="G344" s="1"/>
      <c r="H344" s="17"/>
    </row>
    <row r="345" spans="1:8" x14ac:dyDescent="0.25">
      <c r="A345" s="1"/>
      <c r="B345" s="17"/>
      <c r="C345" s="1"/>
      <c r="D345" s="1"/>
      <c r="E345" s="17"/>
      <c r="F345" s="1"/>
      <c r="G345" s="1"/>
      <c r="H345" s="17"/>
    </row>
    <row r="346" spans="1:8" x14ac:dyDescent="0.25">
      <c r="A346" s="1"/>
      <c r="B346" s="17"/>
      <c r="C346" s="1"/>
      <c r="D346" s="1"/>
      <c r="E346" s="17"/>
      <c r="F346" s="1"/>
      <c r="G346" s="1"/>
      <c r="H346" s="17"/>
    </row>
    <row r="347" spans="1:8" x14ac:dyDescent="0.25">
      <c r="A347" s="1"/>
      <c r="B347" s="17"/>
      <c r="C347" s="1"/>
      <c r="D347" s="1"/>
      <c r="E347" s="17"/>
      <c r="F347" s="1"/>
      <c r="G347" s="1"/>
      <c r="H347" s="17"/>
    </row>
    <row r="348" spans="1:8" x14ac:dyDescent="0.25">
      <c r="A348" s="1"/>
      <c r="B348" s="17"/>
      <c r="C348" s="1"/>
      <c r="D348" s="1"/>
      <c r="E348" s="17"/>
      <c r="F348" s="1"/>
      <c r="G348" s="1"/>
      <c r="H348" s="17"/>
    </row>
    <row r="349" spans="1:8" x14ac:dyDescent="0.25">
      <c r="A349" s="1"/>
      <c r="B349" s="17"/>
      <c r="C349" s="1"/>
      <c r="D349" s="1"/>
      <c r="E349" s="17"/>
      <c r="F349" s="1"/>
      <c r="G349" s="1"/>
      <c r="H349" s="17"/>
    </row>
    <row r="350" spans="1:8" x14ac:dyDescent="0.25">
      <c r="A350" s="1"/>
      <c r="B350" s="17"/>
      <c r="C350" s="1"/>
      <c r="D350" s="1"/>
      <c r="E350" s="17"/>
      <c r="F350" s="1"/>
      <c r="G350" s="1"/>
      <c r="H350" s="17"/>
    </row>
    <row r="351" spans="1:8" x14ac:dyDescent="0.25">
      <c r="A351" s="1"/>
      <c r="B351" s="17"/>
      <c r="C351" s="1"/>
      <c r="D351" s="1"/>
      <c r="E351" s="17"/>
      <c r="F351" s="1"/>
      <c r="G351" s="1"/>
      <c r="H351" s="17"/>
    </row>
    <row r="352" spans="1:8" x14ac:dyDescent="0.25">
      <c r="A352" s="1"/>
      <c r="B352" s="17"/>
      <c r="C352" s="1"/>
      <c r="D352" s="1"/>
      <c r="E352" s="17"/>
      <c r="F352" s="1"/>
      <c r="G352" s="1"/>
      <c r="H352" s="17"/>
    </row>
    <row r="353" spans="1:8" x14ac:dyDescent="0.25">
      <c r="A353" s="1"/>
      <c r="B353" s="17"/>
      <c r="C353" s="1"/>
      <c r="D353" s="1"/>
      <c r="E353" s="17"/>
      <c r="F353" s="1"/>
      <c r="G353" s="1"/>
      <c r="H353" s="17"/>
    </row>
    <row r="354" spans="1:8" x14ac:dyDescent="0.25">
      <c r="A354" s="1"/>
      <c r="B354" s="17"/>
      <c r="C354" s="1"/>
      <c r="D354" s="1"/>
      <c r="E354" s="17"/>
      <c r="F354" s="1"/>
      <c r="G354" s="1"/>
      <c r="H354" s="17"/>
    </row>
    <row r="355" spans="1:8" x14ac:dyDescent="0.25">
      <c r="A355" s="1"/>
      <c r="B355" s="17"/>
      <c r="C355" s="1"/>
      <c r="D355" s="1"/>
      <c r="E355" s="17"/>
      <c r="F355" s="1"/>
      <c r="G355" s="1"/>
      <c r="H355" s="17"/>
    </row>
    <row r="356" spans="1:8" x14ac:dyDescent="0.25">
      <c r="A356" s="1"/>
      <c r="B356" s="17"/>
      <c r="C356" s="1"/>
      <c r="D356" s="1"/>
      <c r="E356" s="17"/>
      <c r="F356" s="1"/>
      <c r="G356" s="1"/>
      <c r="H356" s="17"/>
    </row>
    <row r="357" spans="1:8" x14ac:dyDescent="0.25">
      <c r="A357" s="1"/>
      <c r="B357" s="17"/>
      <c r="C357" s="1"/>
      <c r="D357" s="1"/>
      <c r="E357" s="17"/>
      <c r="F357" s="1"/>
      <c r="G357" s="1"/>
      <c r="H357" s="17"/>
    </row>
    <row r="358" spans="1:8" x14ac:dyDescent="0.25">
      <c r="A358" s="1"/>
      <c r="B358" s="17"/>
      <c r="C358" s="1"/>
      <c r="D358" s="1"/>
      <c r="E358" s="17"/>
      <c r="F358" s="1"/>
      <c r="G358" s="1"/>
      <c r="H358" s="17"/>
    </row>
    <row r="359" spans="1:8" x14ac:dyDescent="0.25">
      <c r="A359" s="1"/>
      <c r="B359" s="17"/>
      <c r="C359" s="1"/>
      <c r="D359" s="1"/>
      <c r="E359" s="17"/>
      <c r="F359" s="1"/>
      <c r="G359" s="1"/>
      <c r="H359" s="17"/>
    </row>
    <row r="360" spans="1:8" x14ac:dyDescent="0.25">
      <c r="A360" s="1"/>
      <c r="B360" s="17"/>
      <c r="C360" s="1"/>
      <c r="D360" s="1"/>
      <c r="E360" s="17"/>
      <c r="F360" s="1"/>
      <c r="G360" s="1"/>
      <c r="H360" s="17"/>
    </row>
    <row r="361" spans="1:8" x14ac:dyDescent="0.25">
      <c r="A361" s="1"/>
      <c r="B361" s="17"/>
      <c r="C361" s="1"/>
      <c r="D361" s="1"/>
      <c r="E361" s="17"/>
      <c r="F361" s="1"/>
      <c r="G361" s="1"/>
      <c r="H361" s="17"/>
    </row>
    <row r="362" spans="1:8" x14ac:dyDescent="0.25">
      <c r="A362" s="1"/>
      <c r="B362" s="17"/>
      <c r="C362" s="1"/>
      <c r="D362" s="1"/>
      <c r="E362" s="17"/>
      <c r="F362" s="1"/>
      <c r="G362" s="1"/>
      <c r="H362" s="17"/>
    </row>
    <row r="363" spans="1:8" x14ac:dyDescent="0.25">
      <c r="A363" s="1"/>
      <c r="B363" s="17"/>
      <c r="C363" s="1"/>
      <c r="D363" s="1"/>
      <c r="E363" s="17"/>
      <c r="F363" s="1"/>
      <c r="G363" s="1"/>
      <c r="H363" s="17"/>
    </row>
    <row r="364" spans="1:8" x14ac:dyDescent="0.25">
      <c r="A364" s="1"/>
      <c r="B364" s="17"/>
      <c r="C364" s="1"/>
      <c r="D364" s="1"/>
      <c r="E364" s="17"/>
      <c r="F364" s="1"/>
      <c r="G364" s="1"/>
      <c r="H364" s="17"/>
    </row>
    <row r="365" spans="1:8" x14ac:dyDescent="0.25">
      <c r="A365" s="1"/>
      <c r="B365" s="17"/>
      <c r="C365" s="1"/>
      <c r="D365" s="1"/>
      <c r="E365" s="17"/>
      <c r="F365" s="1"/>
      <c r="G365" s="1"/>
      <c r="H365" s="17"/>
    </row>
    <row r="366" spans="1:8" x14ac:dyDescent="0.25">
      <c r="A366" s="1"/>
      <c r="B366" s="17"/>
      <c r="C366" s="1"/>
      <c r="D366" s="1"/>
      <c r="E366" s="17"/>
      <c r="F366" s="1"/>
      <c r="G366" s="1"/>
      <c r="H366" s="17"/>
    </row>
    <row r="367" spans="1:8" x14ac:dyDescent="0.25">
      <c r="A367" s="1"/>
      <c r="B367" s="17"/>
      <c r="C367" s="1"/>
      <c r="D367" s="1"/>
      <c r="E367" s="17"/>
      <c r="F367" s="1"/>
      <c r="G367" s="1"/>
      <c r="H367" s="17"/>
    </row>
    <row r="368" spans="1:8" x14ac:dyDescent="0.25">
      <c r="A368" s="1"/>
      <c r="B368" s="17"/>
      <c r="C368" s="1"/>
      <c r="D368" s="1"/>
      <c r="E368" s="17"/>
      <c r="F368" s="1"/>
      <c r="G368" s="1"/>
      <c r="H368" s="17"/>
    </row>
    <row r="369" spans="1:8" x14ac:dyDescent="0.25">
      <c r="A369" s="1"/>
      <c r="B369" s="17"/>
      <c r="C369" s="1"/>
      <c r="D369" s="1"/>
      <c r="E369" s="17"/>
      <c r="F369" s="1"/>
      <c r="G369" s="1"/>
      <c r="H369" s="17"/>
    </row>
    <row r="370" spans="1:8" x14ac:dyDescent="0.25">
      <c r="A370" s="1"/>
      <c r="B370" s="17"/>
      <c r="C370" s="1"/>
      <c r="D370" s="1"/>
      <c r="E370" s="17"/>
      <c r="F370" s="1"/>
      <c r="G370" s="1"/>
      <c r="H370" s="17"/>
    </row>
    <row r="371" spans="1:8" x14ac:dyDescent="0.25">
      <c r="A371" s="1"/>
      <c r="B371" s="17"/>
      <c r="C371" s="1"/>
      <c r="D371" s="1"/>
      <c r="E371" s="17"/>
      <c r="F371" s="1"/>
      <c r="G371" s="1"/>
      <c r="H371" s="17"/>
    </row>
    <row r="372" spans="1:8" x14ac:dyDescent="0.25">
      <c r="A372" s="1"/>
      <c r="B372" s="17"/>
      <c r="C372" s="1"/>
      <c r="D372" s="1"/>
      <c r="E372" s="17"/>
      <c r="F372" s="1"/>
      <c r="G372" s="1"/>
      <c r="H372" s="17"/>
    </row>
    <row r="373" spans="1:8" x14ac:dyDescent="0.25">
      <c r="A373" s="1"/>
      <c r="B373" s="17"/>
      <c r="C373" s="1"/>
      <c r="D373" s="1"/>
      <c r="E373" s="17"/>
      <c r="F373" s="1"/>
      <c r="G373" s="1"/>
      <c r="H373" s="17"/>
    </row>
    <row r="374" spans="1:8" x14ac:dyDescent="0.25">
      <c r="A374" s="1"/>
      <c r="B374" s="17"/>
      <c r="C374" s="1"/>
      <c r="D374" s="1"/>
      <c r="E374" s="17"/>
      <c r="F374" s="1"/>
      <c r="G374" s="1"/>
      <c r="H374" s="17"/>
    </row>
    <row r="375" spans="1:8" x14ac:dyDescent="0.25">
      <c r="A375" s="1"/>
      <c r="B375" s="17"/>
      <c r="C375" s="1"/>
      <c r="D375" s="1"/>
      <c r="E375" s="17"/>
      <c r="F375" s="1"/>
      <c r="G375" s="1"/>
      <c r="H375" s="17"/>
    </row>
    <row r="376" spans="1:8" x14ac:dyDescent="0.25">
      <c r="A376" s="1"/>
      <c r="B376" s="17"/>
      <c r="C376" s="1"/>
      <c r="D376" s="1"/>
      <c r="E376" s="17"/>
      <c r="F376" s="1"/>
      <c r="G376" s="1"/>
      <c r="H376" s="17"/>
    </row>
    <row r="377" spans="1:8" x14ac:dyDescent="0.25">
      <c r="A377" s="1"/>
      <c r="B377" s="17"/>
      <c r="C377" s="1"/>
      <c r="D377" s="1"/>
      <c r="E377" s="17"/>
      <c r="F377" s="1"/>
      <c r="G377" s="1"/>
      <c r="H377" s="17"/>
    </row>
    <row r="378" spans="1:8" x14ac:dyDescent="0.25">
      <c r="A378" s="1"/>
      <c r="B378" s="17"/>
      <c r="C378" s="1"/>
      <c r="D378" s="1"/>
      <c r="E378" s="17"/>
      <c r="F378" s="1"/>
      <c r="G378" s="1"/>
      <c r="H378" s="17"/>
    </row>
    <row r="379" spans="1:8" x14ac:dyDescent="0.25">
      <c r="A379" s="1"/>
      <c r="B379" s="17"/>
      <c r="C379" s="1"/>
      <c r="D379" s="1"/>
      <c r="E379" s="17"/>
      <c r="F379" s="1"/>
      <c r="G379" s="1"/>
      <c r="H379" s="17"/>
    </row>
    <row r="380" spans="1:8" x14ac:dyDescent="0.25">
      <c r="A380" s="1"/>
      <c r="B380" s="17"/>
      <c r="C380" s="1"/>
      <c r="D380" s="1"/>
      <c r="E380" s="17"/>
      <c r="F380" s="1"/>
      <c r="G380" s="1"/>
      <c r="H380" s="17"/>
    </row>
    <row r="381" spans="1:8" x14ac:dyDescent="0.25">
      <c r="A381" s="1"/>
      <c r="B381" s="17"/>
      <c r="C381" s="1"/>
      <c r="D381" s="1"/>
      <c r="E381" s="17"/>
      <c r="F381" s="1"/>
      <c r="G381" s="1"/>
      <c r="H381" s="17"/>
    </row>
    <row r="382" spans="1:8" x14ac:dyDescent="0.25">
      <c r="A382" s="1"/>
      <c r="B382" s="17"/>
      <c r="C382" s="1"/>
      <c r="D382" s="1"/>
      <c r="E382" s="17"/>
      <c r="F382" s="1"/>
      <c r="G382" s="1"/>
      <c r="H382" s="17"/>
    </row>
    <row r="383" spans="1:8" x14ac:dyDescent="0.25">
      <c r="A383" s="1"/>
      <c r="B383" s="17"/>
      <c r="C383" s="1"/>
      <c r="D383" s="1"/>
      <c r="E383" s="17"/>
      <c r="F383" s="1"/>
      <c r="G383" s="1"/>
      <c r="H383" s="17"/>
    </row>
    <row r="384" spans="1:8" x14ac:dyDescent="0.25">
      <c r="A384" s="1"/>
      <c r="B384" s="17"/>
      <c r="C384" s="1"/>
      <c r="D384" s="1"/>
      <c r="E384" s="17"/>
      <c r="F384" s="1"/>
      <c r="G384" s="1"/>
      <c r="H384" s="17"/>
    </row>
    <row r="385" spans="1:8" x14ac:dyDescent="0.25">
      <c r="A385" s="1"/>
      <c r="B385" s="17"/>
      <c r="C385" s="1"/>
      <c r="D385" s="1"/>
      <c r="E385" s="17"/>
      <c r="F385" s="1"/>
      <c r="G385" s="1"/>
      <c r="H385" s="17"/>
    </row>
    <row r="386" spans="1:8" x14ac:dyDescent="0.25">
      <c r="A386" s="1"/>
      <c r="B386" s="17"/>
      <c r="C386" s="1"/>
      <c r="D386" s="1"/>
      <c r="E386" s="17"/>
      <c r="F386" s="1"/>
      <c r="G386" s="1"/>
      <c r="H386" s="17"/>
    </row>
    <row r="387" spans="1:8" x14ac:dyDescent="0.25">
      <c r="A387" s="1"/>
      <c r="B387" s="17"/>
      <c r="C387" s="1"/>
      <c r="D387" s="1"/>
      <c r="E387" s="17"/>
      <c r="F387" s="1"/>
      <c r="G387" s="1"/>
      <c r="H387" s="17"/>
    </row>
    <row r="388" spans="1:8" x14ac:dyDescent="0.25">
      <c r="A388" s="1"/>
      <c r="B388" s="17"/>
      <c r="C388" s="1"/>
      <c r="D388" s="1"/>
      <c r="E388" s="17"/>
      <c r="F388" s="1"/>
      <c r="G388" s="1"/>
      <c r="H388" s="17"/>
    </row>
    <row r="389" spans="1:8" x14ac:dyDescent="0.25">
      <c r="A389" s="1"/>
      <c r="B389" s="17"/>
      <c r="C389" s="1"/>
      <c r="D389" s="1"/>
      <c r="E389" s="17"/>
      <c r="F389" s="1"/>
      <c r="G389" s="1"/>
      <c r="H389" s="17"/>
    </row>
    <row r="390" spans="1:8" x14ac:dyDescent="0.25">
      <c r="A390" s="1"/>
      <c r="B390" s="17"/>
      <c r="C390" s="1"/>
      <c r="D390" s="1"/>
      <c r="E390" s="17"/>
      <c r="F390" s="1"/>
      <c r="G390" s="1"/>
      <c r="H390" s="17"/>
    </row>
    <row r="391" spans="1:8" x14ac:dyDescent="0.25">
      <c r="A391" s="1"/>
      <c r="B391" s="17"/>
      <c r="C391" s="1"/>
      <c r="D391" s="1"/>
      <c r="E391" s="17"/>
      <c r="F391" s="1"/>
      <c r="G391" s="1"/>
      <c r="H391" s="17"/>
    </row>
    <row r="392" spans="1:8" x14ac:dyDescent="0.25">
      <c r="A392" s="1"/>
      <c r="B392" s="17"/>
      <c r="C392" s="1"/>
      <c r="D392" s="1"/>
      <c r="E392" s="17"/>
      <c r="F392" s="1"/>
      <c r="G392" s="1"/>
      <c r="H392" s="17"/>
    </row>
    <row r="393" spans="1:8" x14ac:dyDescent="0.25">
      <c r="A393" s="1"/>
      <c r="B393" s="17"/>
      <c r="C393" s="1"/>
      <c r="D393" s="1"/>
      <c r="E393" s="17"/>
      <c r="F393" s="1"/>
      <c r="G393" s="1"/>
      <c r="H393" s="17"/>
    </row>
    <row r="394" spans="1:8" x14ac:dyDescent="0.25">
      <c r="A394" s="1"/>
      <c r="B394" s="17"/>
      <c r="C394" s="1"/>
      <c r="D394" s="1"/>
      <c r="E394" s="17"/>
      <c r="F394" s="1"/>
      <c r="G394" s="1"/>
      <c r="H394" s="17"/>
    </row>
    <row r="395" spans="1:8" x14ac:dyDescent="0.25">
      <c r="A395" s="1"/>
      <c r="B395" s="17"/>
      <c r="C395" s="1"/>
      <c r="D395" s="1"/>
      <c r="E395" s="17"/>
      <c r="F395" s="1"/>
      <c r="G395" s="1"/>
      <c r="H395" s="17"/>
    </row>
    <row r="396" spans="1:8" x14ac:dyDescent="0.25">
      <c r="A396" s="1"/>
      <c r="B396" s="17"/>
      <c r="C396" s="1"/>
      <c r="D396" s="1"/>
      <c r="E396" s="17"/>
      <c r="F396" s="1"/>
      <c r="G396" s="1"/>
      <c r="H396" s="17"/>
    </row>
    <row r="397" spans="1:8" x14ac:dyDescent="0.25">
      <c r="A397" s="1"/>
      <c r="B397" s="17"/>
      <c r="C397" s="1"/>
      <c r="D397" s="1"/>
      <c r="E397" s="17"/>
      <c r="F397" s="1"/>
      <c r="G397" s="1"/>
      <c r="H397" s="17"/>
    </row>
    <row r="398" spans="1:8" x14ac:dyDescent="0.25">
      <c r="A398" s="1"/>
      <c r="B398" s="17"/>
      <c r="C398" s="1"/>
      <c r="D398" s="1"/>
      <c r="E398" s="17"/>
      <c r="F398" s="1"/>
      <c r="G398" s="1"/>
      <c r="H398" s="17"/>
    </row>
    <row r="399" spans="1:8" x14ac:dyDescent="0.25">
      <c r="A399" s="1"/>
      <c r="B399" s="17"/>
      <c r="C399" s="1"/>
      <c r="D399" s="1"/>
      <c r="E399" s="17"/>
      <c r="F399" s="1"/>
      <c r="G399" s="1"/>
      <c r="H399" s="17"/>
    </row>
    <row r="400" spans="1:8" x14ac:dyDescent="0.25">
      <c r="A400" s="1"/>
      <c r="B400" s="17"/>
      <c r="C400" s="1"/>
      <c r="D400" s="1"/>
      <c r="E400" s="17"/>
      <c r="F400" s="1"/>
      <c r="G400" s="1"/>
      <c r="H400" s="17"/>
    </row>
    <row r="401" spans="1:8" x14ac:dyDescent="0.25">
      <c r="A401" s="1"/>
      <c r="B401" s="17"/>
      <c r="C401" s="1"/>
      <c r="D401" s="1"/>
      <c r="E401" s="17"/>
      <c r="F401" s="1"/>
      <c r="G401" s="1"/>
      <c r="H401" s="17"/>
    </row>
    <row r="402" spans="1:8" x14ac:dyDescent="0.25">
      <c r="A402" s="1"/>
      <c r="B402" s="17"/>
      <c r="C402" s="1"/>
      <c r="D402" s="1"/>
      <c r="E402" s="17"/>
      <c r="F402" s="1"/>
      <c r="G402" s="1"/>
      <c r="H402" s="17"/>
    </row>
    <row r="403" spans="1:8" x14ac:dyDescent="0.25">
      <c r="A403" s="1"/>
      <c r="B403" s="17"/>
      <c r="C403" s="1"/>
      <c r="D403" s="1"/>
      <c r="E403" s="17"/>
      <c r="F403" s="1"/>
      <c r="G403" s="1"/>
      <c r="H403" s="17"/>
    </row>
    <row r="404" spans="1:8" x14ac:dyDescent="0.25">
      <c r="A404" s="1"/>
      <c r="B404" s="17"/>
      <c r="C404" s="1"/>
      <c r="D404" s="1"/>
      <c r="E404" s="17"/>
      <c r="F404" s="1"/>
      <c r="G404" s="1"/>
      <c r="H404" s="17"/>
    </row>
    <row r="405" spans="1:8" x14ac:dyDescent="0.25">
      <c r="A405" s="1"/>
      <c r="B405" s="17"/>
      <c r="C405" s="1"/>
      <c r="D405" s="1"/>
      <c r="E405" s="17"/>
      <c r="F405" s="1"/>
      <c r="G405" s="1"/>
      <c r="H405" s="17"/>
    </row>
    <row r="406" spans="1:8" x14ac:dyDescent="0.25">
      <c r="A406" s="1"/>
      <c r="B406" s="17"/>
      <c r="C406" s="1"/>
      <c r="D406" s="1"/>
      <c r="E406" s="17"/>
      <c r="F406" s="1"/>
      <c r="G406" s="1"/>
      <c r="H406" s="17"/>
    </row>
    <row r="407" spans="1:8" x14ac:dyDescent="0.25">
      <c r="A407" s="1"/>
      <c r="B407" s="17"/>
      <c r="C407" s="1"/>
      <c r="D407" s="1"/>
      <c r="E407" s="17"/>
      <c r="F407" s="1"/>
      <c r="G407" s="1"/>
      <c r="H407" s="17"/>
    </row>
    <row r="408" spans="1:8" x14ac:dyDescent="0.25">
      <c r="A408" s="1"/>
      <c r="B408" s="17"/>
      <c r="C408" s="1"/>
      <c r="D408" s="1"/>
      <c r="E408" s="17"/>
      <c r="F408" s="1"/>
      <c r="G408" s="1"/>
      <c r="H408" s="17"/>
    </row>
    <row r="409" spans="1:8" x14ac:dyDescent="0.25">
      <c r="A409" s="1"/>
      <c r="B409" s="17"/>
      <c r="C409" s="1"/>
      <c r="D409" s="1"/>
      <c r="E409" s="17"/>
      <c r="F409" s="1"/>
      <c r="G409" s="1"/>
      <c r="H409" s="17"/>
    </row>
    <row r="410" spans="1:8" x14ac:dyDescent="0.25">
      <c r="A410" s="1"/>
      <c r="B410" s="17"/>
      <c r="C410" s="1"/>
      <c r="D410" s="1"/>
      <c r="E410" s="17"/>
      <c r="F410" s="1"/>
      <c r="G410" s="1"/>
      <c r="H410" s="17"/>
    </row>
    <row r="411" spans="1:8" x14ac:dyDescent="0.25">
      <c r="A411" s="1"/>
      <c r="B411" s="17"/>
      <c r="C411" s="1"/>
      <c r="D411" s="1"/>
      <c r="E411" s="17"/>
      <c r="F411" s="1"/>
      <c r="G411" s="1"/>
      <c r="H411" s="17"/>
    </row>
    <row r="412" spans="1:8" x14ac:dyDescent="0.25">
      <c r="A412" s="1"/>
      <c r="B412" s="17"/>
      <c r="C412" s="1"/>
      <c r="D412" s="1"/>
      <c r="E412" s="17"/>
      <c r="F412" s="1"/>
      <c r="G412" s="1"/>
      <c r="H412" s="17"/>
    </row>
    <row r="413" spans="1:8" x14ac:dyDescent="0.25">
      <c r="A413" s="1"/>
      <c r="B413" s="17"/>
      <c r="C413" s="1"/>
      <c r="D413" s="1"/>
      <c r="E413" s="17"/>
      <c r="F413" s="1"/>
      <c r="G413" s="1"/>
      <c r="H413" s="17"/>
    </row>
    <row r="414" spans="1:8" x14ac:dyDescent="0.25">
      <c r="A414" s="1"/>
      <c r="B414" s="17"/>
      <c r="C414" s="1"/>
      <c r="D414" s="1"/>
      <c r="E414" s="17"/>
      <c r="F414" s="1"/>
      <c r="G414" s="1"/>
      <c r="H414" s="17"/>
    </row>
    <row r="415" spans="1:8" x14ac:dyDescent="0.25">
      <c r="A415" s="1"/>
      <c r="B415" s="17"/>
      <c r="C415" s="1"/>
      <c r="D415" s="1"/>
      <c r="E415" s="17"/>
      <c r="F415" s="1"/>
      <c r="G415" s="1"/>
      <c r="H415" s="17"/>
    </row>
    <row r="416" spans="1:8" x14ac:dyDescent="0.25">
      <c r="A416" s="1"/>
      <c r="B416" s="17"/>
      <c r="C416" s="1"/>
      <c r="D416" s="1"/>
      <c r="E416" s="17"/>
      <c r="F416" s="1"/>
      <c r="G416" s="1"/>
      <c r="H416" s="17"/>
    </row>
    <row r="417" spans="1:8" x14ac:dyDescent="0.25">
      <c r="A417" s="1"/>
      <c r="B417" s="17"/>
      <c r="C417" s="1"/>
      <c r="D417" s="1"/>
      <c r="E417" s="17"/>
      <c r="F417" s="1"/>
      <c r="G417" s="1"/>
      <c r="H417" s="17"/>
    </row>
    <row r="418" spans="1:8" x14ac:dyDescent="0.25">
      <c r="A418" s="1"/>
      <c r="B418" s="17"/>
      <c r="C418" s="1"/>
      <c r="D418" s="1"/>
      <c r="E418" s="17"/>
      <c r="F418" s="1"/>
      <c r="G418" s="1"/>
      <c r="H418" s="17"/>
    </row>
    <row r="419" spans="1:8" x14ac:dyDescent="0.25">
      <c r="A419" s="1"/>
      <c r="B419" s="17"/>
      <c r="C419" s="1"/>
      <c r="D419" s="1"/>
      <c r="E419" s="17"/>
      <c r="F419" s="1"/>
      <c r="G419" s="1"/>
      <c r="H419" s="17"/>
    </row>
    <row r="420" spans="1:8" x14ac:dyDescent="0.25">
      <c r="A420" s="1"/>
      <c r="B420" s="17"/>
      <c r="C420" s="1"/>
      <c r="D420" s="1"/>
      <c r="E420" s="17"/>
      <c r="F420" s="1"/>
      <c r="G420" s="1"/>
      <c r="H420" s="17"/>
    </row>
    <row r="421" spans="1:8" x14ac:dyDescent="0.25">
      <c r="A421" s="1"/>
      <c r="B421" s="17"/>
      <c r="C421" s="1"/>
      <c r="D421" s="1"/>
      <c r="E421" s="17"/>
      <c r="F421" s="1"/>
      <c r="G421" s="1"/>
      <c r="H421" s="17"/>
    </row>
    <row r="422" spans="1:8" x14ac:dyDescent="0.25">
      <c r="A422" s="1"/>
      <c r="B422" s="17"/>
      <c r="C422" s="1"/>
      <c r="D422" s="1"/>
      <c r="E422" s="17"/>
      <c r="F422" s="1"/>
      <c r="G422" s="1"/>
      <c r="H422" s="17"/>
    </row>
    <row r="423" spans="1:8" x14ac:dyDescent="0.25">
      <c r="A423" s="1"/>
      <c r="B423" s="17"/>
      <c r="C423" s="1"/>
      <c r="D423" s="1"/>
      <c r="E423" s="17"/>
      <c r="F423" s="1"/>
      <c r="G423" s="1"/>
      <c r="H423" s="17"/>
    </row>
    <row r="424" spans="1:8" x14ac:dyDescent="0.25">
      <c r="A424" s="1"/>
      <c r="B424" s="17"/>
      <c r="C424" s="1"/>
      <c r="D424" s="1"/>
      <c r="E424" s="17"/>
      <c r="F424" s="1"/>
      <c r="G424" s="1"/>
      <c r="H424" s="17"/>
    </row>
    <row r="425" spans="1:8" x14ac:dyDescent="0.25">
      <c r="A425" s="1"/>
      <c r="B425" s="17"/>
      <c r="C425" s="1"/>
      <c r="D425" s="1"/>
      <c r="E425" s="17"/>
      <c r="F425" s="1"/>
      <c r="G425" s="1"/>
      <c r="H425" s="17"/>
    </row>
    <row r="426" spans="1:8" x14ac:dyDescent="0.25">
      <c r="A426" s="1"/>
      <c r="B426" s="17"/>
      <c r="C426" s="1"/>
      <c r="D426" s="1"/>
      <c r="E426" s="17"/>
      <c r="F426" s="1"/>
      <c r="G426" s="1"/>
      <c r="H426" s="17"/>
    </row>
    <row r="427" spans="1:8" x14ac:dyDescent="0.25">
      <c r="A427" s="1"/>
      <c r="B427" s="17"/>
      <c r="C427" s="1"/>
      <c r="D427" s="1"/>
      <c r="E427" s="17"/>
      <c r="F427" s="1"/>
      <c r="G427" s="1"/>
      <c r="H427" s="17"/>
    </row>
    <row r="428" spans="1:8" x14ac:dyDescent="0.25">
      <c r="A428" s="1"/>
      <c r="B428" s="17"/>
      <c r="C428" s="1"/>
      <c r="D428" s="1"/>
      <c r="E428" s="17"/>
      <c r="F428" s="1"/>
      <c r="G428" s="1"/>
      <c r="H428" s="17"/>
    </row>
    <row r="429" spans="1:8" x14ac:dyDescent="0.25">
      <c r="A429" s="1"/>
      <c r="B429" s="17"/>
      <c r="C429" s="1"/>
      <c r="D429" s="1"/>
      <c r="E429" s="17"/>
      <c r="F429" s="1"/>
      <c r="G429" s="1"/>
      <c r="H429" s="17"/>
    </row>
    <row r="430" spans="1:8" x14ac:dyDescent="0.25">
      <c r="A430" s="1"/>
      <c r="B430" s="17"/>
      <c r="C430" s="1"/>
      <c r="D430" s="1"/>
      <c r="E430" s="17"/>
      <c r="F430" s="1"/>
      <c r="G430" s="1"/>
      <c r="H430" s="17"/>
    </row>
    <row r="431" spans="1:8" x14ac:dyDescent="0.25">
      <c r="A431" s="1"/>
      <c r="B431" s="17"/>
      <c r="C431" s="1"/>
      <c r="D431" s="1"/>
      <c r="E431" s="17"/>
      <c r="F431" s="1"/>
      <c r="G431" s="1"/>
      <c r="H431" s="17"/>
    </row>
    <row r="432" spans="1:8" x14ac:dyDescent="0.25">
      <c r="A432" s="1"/>
      <c r="B432" s="17"/>
      <c r="C432" s="1"/>
      <c r="D432" s="1"/>
      <c r="E432" s="17"/>
      <c r="F432" s="1"/>
      <c r="G432" s="1"/>
      <c r="H432" s="17"/>
    </row>
    <row r="433" spans="1:8" x14ac:dyDescent="0.25">
      <c r="A433" s="1"/>
      <c r="B433" s="17"/>
      <c r="C433" s="1"/>
      <c r="D433" s="1"/>
      <c r="E433" s="17"/>
      <c r="F433" s="1"/>
      <c r="G433" s="1"/>
      <c r="H433" s="17"/>
    </row>
    <row r="434" spans="1:8" x14ac:dyDescent="0.25">
      <c r="A434" s="1"/>
      <c r="B434" s="17"/>
      <c r="C434" s="1"/>
      <c r="D434" s="1"/>
      <c r="E434" s="17"/>
      <c r="F434" s="1"/>
      <c r="G434" s="1"/>
      <c r="H434" s="17"/>
    </row>
    <row r="435" spans="1:8" x14ac:dyDescent="0.25">
      <c r="A435" s="1"/>
      <c r="B435" s="17"/>
      <c r="C435" s="1"/>
      <c r="D435" s="1"/>
      <c r="E435" s="17"/>
      <c r="F435" s="1"/>
      <c r="G435" s="1"/>
      <c r="H435" s="17"/>
    </row>
    <row r="436" spans="1:8" x14ac:dyDescent="0.25">
      <c r="A436" s="1"/>
      <c r="B436" s="17"/>
      <c r="C436" s="1"/>
      <c r="D436" s="1"/>
      <c r="E436" s="17"/>
      <c r="F436" s="1"/>
      <c r="G436" s="1"/>
      <c r="H436" s="17"/>
    </row>
    <row r="437" spans="1:8" x14ac:dyDescent="0.25">
      <c r="A437" s="1"/>
      <c r="B437" s="17"/>
      <c r="C437" s="1"/>
      <c r="D437" s="1"/>
      <c r="E437" s="17"/>
      <c r="F437" s="1"/>
      <c r="G437" s="1"/>
      <c r="H437" s="17"/>
    </row>
    <row r="438" spans="1:8" x14ac:dyDescent="0.25">
      <c r="A438" s="1"/>
      <c r="B438" s="17"/>
      <c r="C438" s="1"/>
      <c r="D438" s="1"/>
      <c r="E438" s="17"/>
      <c r="F438" s="1"/>
      <c r="G438" s="1"/>
      <c r="H438" s="17"/>
    </row>
    <row r="439" spans="1:8" x14ac:dyDescent="0.25">
      <c r="A439" s="1"/>
      <c r="B439" s="17"/>
      <c r="C439" s="1"/>
      <c r="D439" s="1"/>
      <c r="E439" s="17"/>
      <c r="F439" s="1"/>
      <c r="G439" s="1"/>
      <c r="H439" s="17"/>
    </row>
    <row r="440" spans="1:8" x14ac:dyDescent="0.25">
      <c r="A440" s="1"/>
      <c r="B440" s="17"/>
      <c r="C440" s="1"/>
      <c r="D440" s="1"/>
      <c r="E440" s="17"/>
      <c r="F440" s="1"/>
      <c r="G440" s="1"/>
      <c r="H440" s="17"/>
    </row>
    <row r="441" spans="1:8" x14ac:dyDescent="0.25">
      <c r="A441" s="1"/>
      <c r="B441" s="17"/>
      <c r="C441" s="1"/>
      <c r="D441" s="1"/>
      <c r="E441" s="17"/>
      <c r="F441" s="1"/>
      <c r="G441" s="1"/>
      <c r="H441" s="17"/>
    </row>
    <row r="442" spans="1:8" x14ac:dyDescent="0.25">
      <c r="A442" s="1"/>
      <c r="B442" s="17"/>
      <c r="C442" s="1"/>
      <c r="D442" s="1"/>
      <c r="E442" s="17"/>
      <c r="F442" s="1"/>
      <c r="G442" s="1"/>
      <c r="H442" s="17"/>
    </row>
  </sheetData>
  <mergeCells count="12">
    <mergeCell ref="A273:B273"/>
    <mergeCell ref="A274:B274"/>
    <mergeCell ref="A275:B275"/>
    <mergeCell ref="A276:B276"/>
    <mergeCell ref="A266:H266"/>
    <mergeCell ref="A267:H267"/>
    <mergeCell ref="A269:H269"/>
    <mergeCell ref="A1:H1"/>
    <mergeCell ref="A7:H7"/>
    <mergeCell ref="B2:G2"/>
    <mergeCell ref="A264:H264"/>
    <mergeCell ref="A265:H265"/>
  </mergeCells>
  <pageMargins left="0.98425196850393704" right="0.59055118110236227" top="0.78740157480314965" bottom="0.59055118110236227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view="pageBreakPreview" zoomScaleNormal="100" zoomScaleSheetLayoutView="100" workbookViewId="0">
      <selection activeCell="K14" sqref="K14"/>
    </sheetView>
  </sheetViews>
  <sheetFormatPr defaultRowHeight="12.75" x14ac:dyDescent="0.2"/>
  <cols>
    <col min="1" max="1" width="4.7109375" style="96" customWidth="1"/>
    <col min="2" max="2" width="5.7109375" style="54" hidden="1" customWidth="1"/>
    <col min="3" max="3" width="30.7109375" style="54" customWidth="1"/>
    <col min="4" max="4" width="12.7109375" style="97" customWidth="1"/>
    <col min="5" max="5" width="5.28515625" style="98" customWidth="1"/>
    <col min="6" max="6" width="11.28515625" style="54" customWidth="1"/>
    <col min="7" max="7" width="5.28515625" style="99" customWidth="1"/>
    <col min="8" max="8" width="11.28515625" style="54" customWidth="1"/>
    <col min="9" max="9" width="5.28515625" style="99" customWidth="1"/>
    <col min="10" max="10" width="11.28515625" style="54" customWidth="1"/>
    <col min="11" max="11" width="5.28515625" style="99" customWidth="1"/>
    <col min="12" max="12" width="11.28515625" style="54" customWidth="1"/>
    <col min="13" max="13" width="5.28515625" style="99" customWidth="1"/>
    <col min="14" max="14" width="11.28515625" style="54" customWidth="1"/>
    <col min="15" max="15" width="5.28515625" style="54" customWidth="1"/>
    <col min="16" max="16" width="11.28515625" style="54" customWidth="1"/>
    <col min="17" max="17" width="5.28515625" style="54" hidden="1" customWidth="1"/>
    <col min="18" max="18" width="12.28515625" style="54" hidden="1" customWidth="1"/>
    <col min="19" max="19" width="5.28515625" style="99" hidden="1" customWidth="1"/>
    <col min="20" max="20" width="12.28515625" style="54" hidden="1" customWidth="1"/>
    <col min="21" max="16384" width="9.140625" style="54"/>
  </cols>
  <sheetData>
    <row r="1" spans="1:20" ht="16.5" customHeight="1" x14ac:dyDescent="0.25">
      <c r="A1" s="318" t="str">
        <f>Orçamento!A1</f>
        <v>PREFEITURA MUNICIPAL DE RODEIO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9"/>
    </row>
    <row r="2" spans="1:20" ht="16.5" customHeight="1" x14ac:dyDescent="0.25">
      <c r="A2" s="101" t="str">
        <f>Orçamento!B4</f>
        <v>Obra: Ginásio de Esportes de Rodeio 12</v>
      </c>
      <c r="B2" s="55"/>
      <c r="C2" s="55"/>
      <c r="D2" s="102"/>
      <c r="E2" s="103"/>
      <c r="F2" s="103"/>
      <c r="G2" s="103"/>
      <c r="H2" s="103"/>
      <c r="I2" s="103"/>
      <c r="J2" s="101" t="str">
        <f>Orçamento!B6</f>
        <v>Data: Abril/2019</v>
      </c>
      <c r="K2" s="103"/>
      <c r="L2" s="103"/>
      <c r="M2" s="103"/>
      <c r="N2" s="103"/>
      <c r="O2" s="55"/>
      <c r="P2" s="55"/>
      <c r="Q2" s="55"/>
      <c r="R2" s="55"/>
      <c r="S2" s="55"/>
      <c r="T2" s="56"/>
    </row>
    <row r="3" spans="1:20" ht="17.25" thickBot="1" x14ac:dyDescent="0.35">
      <c r="A3" s="101" t="str">
        <f>Orçamento!B5</f>
        <v>Área: 1490,20m²</v>
      </c>
      <c r="B3" s="57"/>
      <c r="C3" s="58"/>
      <c r="D3" s="59"/>
      <c r="E3" s="24"/>
      <c r="F3" s="25"/>
      <c r="G3" s="26"/>
      <c r="H3" s="25"/>
      <c r="I3" s="24"/>
      <c r="J3" s="27"/>
      <c r="K3" s="24"/>
      <c r="L3" s="27"/>
      <c r="M3" s="24"/>
      <c r="N3" s="27"/>
      <c r="O3" s="27"/>
      <c r="P3" s="27"/>
      <c r="Q3" s="27"/>
      <c r="R3" s="27"/>
      <c r="S3" s="24"/>
      <c r="T3" s="60"/>
    </row>
    <row r="4" spans="1:20" ht="13.5" thickBot="1" x14ac:dyDescent="0.25">
      <c r="A4" s="320" t="s">
        <v>388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2"/>
    </row>
    <row r="5" spans="1:20" ht="13.5" thickBot="1" x14ac:dyDescent="0.25">
      <c r="A5" s="61"/>
      <c r="B5" s="57"/>
      <c r="C5" s="62"/>
      <c r="D5" s="63"/>
      <c r="E5" s="64"/>
      <c r="F5" s="65"/>
      <c r="G5" s="66"/>
      <c r="H5" s="67"/>
      <c r="I5" s="66"/>
      <c r="J5" s="67"/>
      <c r="K5" s="28"/>
      <c r="L5" s="29"/>
      <c r="M5" s="28"/>
      <c r="N5" s="29"/>
      <c r="O5" s="29"/>
      <c r="P5" s="29"/>
      <c r="Q5" s="29"/>
      <c r="R5" s="29"/>
      <c r="S5" s="28"/>
      <c r="T5" s="30"/>
    </row>
    <row r="6" spans="1:20" s="69" customFormat="1" ht="18" customHeight="1" x14ac:dyDescent="0.25">
      <c r="A6" s="323" t="str">
        <f>[1]QUANTITATIVO!A8</f>
        <v>Item</v>
      </c>
      <c r="B6" s="68"/>
      <c r="C6" s="325" t="str">
        <f>[1]QUANTITATIVO!C8</f>
        <v xml:space="preserve">Discriminação </v>
      </c>
      <c r="D6" s="327" t="str">
        <f>[1]QUANTITATIVO!K9</f>
        <v>Total</v>
      </c>
      <c r="E6" s="314" t="s">
        <v>389</v>
      </c>
      <c r="F6" s="315"/>
      <c r="G6" s="314" t="s">
        <v>390</v>
      </c>
      <c r="H6" s="315"/>
      <c r="I6" s="314" t="s">
        <v>391</v>
      </c>
      <c r="J6" s="315"/>
      <c r="K6" s="314" t="s">
        <v>392</v>
      </c>
      <c r="L6" s="315"/>
      <c r="M6" s="314" t="s">
        <v>393</v>
      </c>
      <c r="N6" s="315"/>
      <c r="O6" s="314" t="s">
        <v>394</v>
      </c>
      <c r="P6" s="315"/>
      <c r="Q6" s="314" t="s">
        <v>395</v>
      </c>
      <c r="R6" s="315"/>
      <c r="S6" s="316" t="s">
        <v>396</v>
      </c>
      <c r="T6" s="317"/>
    </row>
    <row r="7" spans="1:20" s="69" customFormat="1" ht="18" customHeight="1" thickBot="1" x14ac:dyDescent="0.3">
      <c r="A7" s="324"/>
      <c r="B7" s="70"/>
      <c r="C7" s="326"/>
      <c r="D7" s="328"/>
      <c r="E7" s="71" t="s">
        <v>397</v>
      </c>
      <c r="F7" s="72" t="s">
        <v>398</v>
      </c>
      <c r="G7" s="71" t="s">
        <v>397</v>
      </c>
      <c r="H7" s="72" t="s">
        <v>398</v>
      </c>
      <c r="I7" s="71" t="s">
        <v>397</v>
      </c>
      <c r="J7" s="72" t="s">
        <v>398</v>
      </c>
      <c r="K7" s="71" t="s">
        <v>397</v>
      </c>
      <c r="L7" s="72" t="s">
        <v>398</v>
      </c>
      <c r="M7" s="71" t="s">
        <v>397</v>
      </c>
      <c r="N7" s="72" t="s">
        <v>398</v>
      </c>
      <c r="O7" s="71" t="s">
        <v>397</v>
      </c>
      <c r="P7" s="73" t="s">
        <v>398</v>
      </c>
      <c r="Q7" s="71" t="s">
        <v>397</v>
      </c>
      <c r="R7" s="73" t="s">
        <v>398</v>
      </c>
      <c r="S7" s="74" t="s">
        <v>397</v>
      </c>
      <c r="T7" s="75" t="s">
        <v>398</v>
      </c>
    </row>
    <row r="8" spans="1:20" s="82" customFormat="1" ht="30" customHeight="1" x14ac:dyDescent="0.2">
      <c r="A8" s="76">
        <v>1</v>
      </c>
      <c r="B8" s="77"/>
      <c r="C8" s="78" t="str">
        <f>Orçamento!C9</f>
        <v>Serviços Iniciais</v>
      </c>
      <c r="D8" s="79">
        <f>Orçamento!G16</f>
        <v>16893.083599999998</v>
      </c>
      <c r="E8" s="31">
        <v>1</v>
      </c>
      <c r="F8" s="79">
        <f>IF(E8,$D$8*E8, )</f>
        <v>16893.083599999998</v>
      </c>
      <c r="G8" s="31"/>
      <c r="H8" s="79"/>
      <c r="I8" s="31"/>
      <c r="J8" s="79"/>
      <c r="K8" s="31"/>
      <c r="L8" s="79"/>
      <c r="M8" s="31"/>
      <c r="N8" s="79"/>
      <c r="O8" s="31"/>
      <c r="P8" s="79"/>
      <c r="Q8" s="31"/>
      <c r="R8" s="80"/>
      <c r="S8" s="32"/>
      <c r="T8" s="81"/>
    </row>
    <row r="9" spans="1:20" s="82" customFormat="1" ht="30" customHeight="1" x14ac:dyDescent="0.2">
      <c r="A9" s="83">
        <v>2</v>
      </c>
      <c r="B9" s="84"/>
      <c r="C9" s="78" t="str">
        <f>Orçamento!C18</f>
        <v>Infraestrutura</v>
      </c>
      <c r="D9" s="85">
        <f>Orçamento!G26</f>
        <v>107511.29460000001</v>
      </c>
      <c r="E9" s="33">
        <v>0.5</v>
      </c>
      <c r="F9" s="79">
        <f>IF(E9,$D$9*E9, )</f>
        <v>53755.647300000004</v>
      </c>
      <c r="G9" s="33">
        <v>0.5</v>
      </c>
      <c r="H9" s="79">
        <f>IF(G9,$D$9*G9, )</f>
        <v>53755.647300000004</v>
      </c>
      <c r="I9" s="33"/>
      <c r="J9" s="79"/>
      <c r="K9" s="33"/>
      <c r="L9" s="79"/>
      <c r="M9" s="33"/>
      <c r="N9" s="79"/>
      <c r="O9" s="33"/>
      <c r="P9" s="79"/>
      <c r="Q9" s="33"/>
      <c r="R9" s="86"/>
      <c r="S9" s="34"/>
      <c r="T9" s="87"/>
    </row>
    <row r="10" spans="1:20" s="82" customFormat="1" ht="30" customHeight="1" x14ac:dyDescent="0.2">
      <c r="A10" s="83">
        <v>3</v>
      </c>
      <c r="B10" s="84"/>
      <c r="C10" s="78" t="str">
        <f>Orçamento!C28</f>
        <v>Supraestrutura</v>
      </c>
      <c r="D10" s="85">
        <f>Orçamento!G36</f>
        <v>537724.67899499997</v>
      </c>
      <c r="E10" s="33"/>
      <c r="F10" s="79"/>
      <c r="G10" s="33">
        <v>0.6</v>
      </c>
      <c r="H10" s="79">
        <f>IF(G10,$D10*G10, )</f>
        <v>322634.80739699997</v>
      </c>
      <c r="I10" s="33">
        <v>0.4</v>
      </c>
      <c r="J10" s="79">
        <f>IF(I10,$D10*I10, )</f>
        <v>215089.871598</v>
      </c>
      <c r="K10" s="33"/>
      <c r="L10" s="79"/>
      <c r="M10" s="33"/>
      <c r="N10" s="79"/>
      <c r="O10" s="33"/>
      <c r="P10" s="79"/>
      <c r="Q10" s="33"/>
      <c r="R10" s="86"/>
      <c r="S10" s="34"/>
      <c r="T10" s="87"/>
    </row>
    <row r="11" spans="1:20" s="82" customFormat="1" ht="30" customHeight="1" x14ac:dyDescent="0.2">
      <c r="A11" s="83">
        <v>4</v>
      </c>
      <c r="B11" s="84"/>
      <c r="C11" s="78" t="str">
        <f>Orçamento!C38</f>
        <v>Paredes, paineis e esquadrias</v>
      </c>
      <c r="D11" s="85">
        <f>Orçamento!G42</f>
        <v>74485.387799999997</v>
      </c>
      <c r="E11" s="33"/>
      <c r="F11" s="79"/>
      <c r="G11" s="33">
        <v>0.3</v>
      </c>
      <c r="H11" s="79">
        <f>IF(G11,$D11*G11, )</f>
        <v>22345.616339999997</v>
      </c>
      <c r="I11" s="33">
        <v>0.7</v>
      </c>
      <c r="J11" s="79">
        <f>IF(I11,$D11*I11, )</f>
        <v>52139.771459999996</v>
      </c>
      <c r="K11" s="33"/>
      <c r="L11" s="79"/>
      <c r="M11" s="33"/>
      <c r="N11" s="79"/>
      <c r="O11" s="33"/>
      <c r="P11" s="79"/>
      <c r="Q11" s="33"/>
      <c r="R11" s="86"/>
      <c r="S11" s="34"/>
      <c r="T11" s="87"/>
    </row>
    <row r="12" spans="1:20" s="82" customFormat="1" ht="30" customHeight="1" x14ac:dyDescent="0.2">
      <c r="A12" s="83">
        <v>5</v>
      </c>
      <c r="B12" s="84"/>
      <c r="C12" s="78" t="str">
        <f>Orçamento!C44</f>
        <v>Cobertura e proteção</v>
      </c>
      <c r="D12" s="85">
        <f>Orçamento!G50</f>
        <v>91930.099600000001</v>
      </c>
      <c r="E12" s="33"/>
      <c r="F12" s="79"/>
      <c r="G12" s="33"/>
      <c r="H12" s="79"/>
      <c r="I12" s="33">
        <v>0.7</v>
      </c>
      <c r="J12" s="79">
        <f t="shared" ref="J12:J18" si="0">IF(I12,$D12*I12, )</f>
        <v>64351.06972</v>
      </c>
      <c r="K12" s="33">
        <v>0.3</v>
      </c>
      <c r="L12" s="79">
        <f t="shared" ref="L12:L19" si="1">IF(K12,$D12*K12, )</f>
        <v>27579.029879999998</v>
      </c>
      <c r="M12" s="33"/>
      <c r="N12" s="79"/>
      <c r="O12" s="33"/>
      <c r="P12" s="79"/>
      <c r="Q12" s="33"/>
      <c r="R12" s="86"/>
      <c r="S12" s="34"/>
      <c r="T12" s="87"/>
    </row>
    <row r="13" spans="1:20" s="82" customFormat="1" ht="30" customHeight="1" x14ac:dyDescent="0.2">
      <c r="A13" s="83">
        <v>6</v>
      </c>
      <c r="B13" s="84"/>
      <c r="C13" s="78" t="str">
        <f>Orçamento!C52</f>
        <v>Revestimentos</v>
      </c>
      <c r="D13" s="85">
        <f>Orçamento!G60</f>
        <v>135624.31339999998</v>
      </c>
      <c r="E13" s="33"/>
      <c r="F13" s="79"/>
      <c r="G13" s="33"/>
      <c r="H13" s="79"/>
      <c r="I13" s="33"/>
      <c r="J13" s="79"/>
      <c r="K13" s="33">
        <v>0.5</v>
      </c>
      <c r="L13" s="79">
        <f t="shared" si="1"/>
        <v>67812.156699999992</v>
      </c>
      <c r="M13" s="33">
        <v>0.5</v>
      </c>
      <c r="N13" s="79">
        <f t="shared" ref="N13:N20" si="2">IF(M13,$D13*M13, )</f>
        <v>67812.156699999992</v>
      </c>
      <c r="O13" s="33"/>
      <c r="P13" s="79"/>
      <c r="Q13" s="33"/>
      <c r="R13" s="86"/>
      <c r="S13" s="34"/>
      <c r="T13" s="87"/>
    </row>
    <row r="14" spans="1:20" s="82" customFormat="1" ht="30" customHeight="1" x14ac:dyDescent="0.2">
      <c r="A14" s="83">
        <v>7</v>
      </c>
      <c r="B14" s="84"/>
      <c r="C14" s="78" t="str">
        <f>Orçamento!C62</f>
        <v>Esquadrias e peitoris</v>
      </c>
      <c r="D14" s="85">
        <f>Orçamento!G68</f>
        <v>22248.350600000002</v>
      </c>
      <c r="E14" s="33"/>
      <c r="F14" s="79"/>
      <c r="G14" s="33"/>
      <c r="H14" s="79"/>
      <c r="I14" s="33"/>
      <c r="J14" s="79"/>
      <c r="K14" s="33"/>
      <c r="L14" s="79"/>
      <c r="M14" s="33">
        <v>0.4</v>
      </c>
      <c r="N14" s="79">
        <f t="shared" si="2"/>
        <v>8899.3402400000014</v>
      </c>
      <c r="O14" s="33">
        <v>0.6</v>
      </c>
      <c r="P14" s="79">
        <f t="shared" ref="P14:P20" si="3">IF(O14,$D14*O14, )</f>
        <v>13349.01036</v>
      </c>
      <c r="Q14" s="33"/>
      <c r="R14" s="86"/>
      <c r="S14" s="34"/>
      <c r="T14" s="87"/>
    </row>
    <row r="15" spans="1:20" s="82" customFormat="1" ht="30" customHeight="1" x14ac:dyDescent="0.2">
      <c r="A15" s="83">
        <v>8</v>
      </c>
      <c r="B15" s="84"/>
      <c r="C15" s="78" t="str">
        <f>Orçamento!C70</f>
        <v>Pintura</v>
      </c>
      <c r="D15" s="85">
        <f>Orçamento!G77</f>
        <v>38526.233199999995</v>
      </c>
      <c r="E15" s="33"/>
      <c r="F15" s="79"/>
      <c r="G15" s="33"/>
      <c r="H15" s="79"/>
      <c r="I15" s="33"/>
      <c r="J15" s="79"/>
      <c r="K15" s="33"/>
      <c r="L15" s="79"/>
      <c r="M15" s="33">
        <v>0.6</v>
      </c>
      <c r="N15" s="79">
        <f t="shared" si="2"/>
        <v>23115.739919999996</v>
      </c>
      <c r="O15" s="33">
        <v>0.4</v>
      </c>
      <c r="P15" s="79">
        <f t="shared" si="3"/>
        <v>15410.493279999999</v>
      </c>
      <c r="Q15" s="33"/>
      <c r="R15" s="86"/>
      <c r="S15" s="34"/>
      <c r="T15" s="87"/>
    </row>
    <row r="16" spans="1:20" s="82" customFormat="1" ht="30" customHeight="1" x14ac:dyDescent="0.2">
      <c r="A16" s="83">
        <v>9</v>
      </c>
      <c r="B16" s="84"/>
      <c r="C16" s="78" t="str">
        <f>Orçamento!C79</f>
        <v>Pavimentações</v>
      </c>
      <c r="D16" s="85">
        <f>Orçamento!G89</f>
        <v>325893.13049999997</v>
      </c>
      <c r="E16" s="33"/>
      <c r="F16" s="79"/>
      <c r="G16" s="33"/>
      <c r="H16" s="79"/>
      <c r="I16" s="33"/>
      <c r="J16" s="79"/>
      <c r="K16" s="33">
        <v>0.3</v>
      </c>
      <c r="L16" s="79">
        <f t="shared" si="1"/>
        <v>97767.939149999991</v>
      </c>
      <c r="M16" s="33">
        <v>0.7</v>
      </c>
      <c r="N16" s="79">
        <f t="shared" si="2"/>
        <v>228125.19134999998</v>
      </c>
      <c r="O16" s="33"/>
      <c r="P16" s="79"/>
      <c r="Q16" s="33"/>
      <c r="R16" s="86"/>
      <c r="S16" s="34"/>
      <c r="T16" s="87"/>
    </row>
    <row r="17" spans="1:20" s="82" customFormat="1" ht="30" customHeight="1" x14ac:dyDescent="0.2">
      <c r="A17" s="83">
        <v>10</v>
      </c>
      <c r="B17" s="84"/>
      <c r="C17" s="78" t="str">
        <f>Orçamento!C91</f>
        <v>Instalações elétricas, telefone e lógica</v>
      </c>
      <c r="D17" s="85">
        <f>Orçamento!G138</f>
        <v>114171.43000000001</v>
      </c>
      <c r="E17" s="33"/>
      <c r="F17" s="79"/>
      <c r="G17" s="33"/>
      <c r="H17" s="79"/>
      <c r="I17" s="33">
        <v>0.1</v>
      </c>
      <c r="J17" s="79">
        <f t="shared" si="0"/>
        <v>11417.143000000002</v>
      </c>
      <c r="K17" s="33">
        <v>0.2</v>
      </c>
      <c r="L17" s="79">
        <f t="shared" si="1"/>
        <v>22834.286000000004</v>
      </c>
      <c r="M17" s="33">
        <v>0.3</v>
      </c>
      <c r="N17" s="79">
        <f t="shared" si="2"/>
        <v>34251.429000000004</v>
      </c>
      <c r="O17" s="33">
        <v>0.4</v>
      </c>
      <c r="P17" s="79">
        <f t="shared" si="3"/>
        <v>45668.572000000007</v>
      </c>
      <c r="Q17" s="33"/>
      <c r="R17" s="86"/>
      <c r="S17" s="34"/>
      <c r="T17" s="87"/>
    </row>
    <row r="18" spans="1:20" s="82" customFormat="1" ht="30" customHeight="1" x14ac:dyDescent="0.2">
      <c r="A18" s="83">
        <v>11</v>
      </c>
      <c r="B18" s="84"/>
      <c r="C18" s="78" t="str">
        <f>Orçamento!C140</f>
        <v>Instalações hidrossanitárias e pluviais</v>
      </c>
      <c r="D18" s="85">
        <f>Orçamento!G231</f>
        <v>77454.347500000018</v>
      </c>
      <c r="E18" s="33"/>
      <c r="F18" s="79"/>
      <c r="G18" s="33"/>
      <c r="H18" s="79"/>
      <c r="I18" s="33">
        <v>0.2</v>
      </c>
      <c r="J18" s="79">
        <f t="shared" si="0"/>
        <v>15490.869500000004</v>
      </c>
      <c r="K18" s="33">
        <v>0.5</v>
      </c>
      <c r="L18" s="79">
        <f t="shared" si="1"/>
        <v>38727.173750000009</v>
      </c>
      <c r="M18" s="33"/>
      <c r="N18" s="79"/>
      <c r="O18" s="33">
        <v>0.3</v>
      </c>
      <c r="P18" s="79">
        <f t="shared" si="3"/>
        <v>23236.304250000005</v>
      </c>
      <c r="Q18" s="33"/>
      <c r="R18" s="86"/>
      <c r="S18" s="34"/>
      <c r="T18" s="87"/>
    </row>
    <row r="19" spans="1:20" s="82" customFormat="1" ht="30" customHeight="1" x14ac:dyDescent="0.2">
      <c r="A19" s="83">
        <v>12</v>
      </c>
      <c r="B19" s="84"/>
      <c r="C19" s="78" t="str">
        <f>Orçamento!C233</f>
        <v>Instalações preventivas de incêndio</v>
      </c>
      <c r="D19" s="85">
        <f>Orçamento!G250</f>
        <v>23906.907000000003</v>
      </c>
      <c r="E19" s="33"/>
      <c r="F19" s="79"/>
      <c r="G19" s="33"/>
      <c r="H19" s="79"/>
      <c r="I19" s="33"/>
      <c r="J19" s="79"/>
      <c r="K19" s="33">
        <v>0.3</v>
      </c>
      <c r="L19" s="79">
        <f t="shared" si="1"/>
        <v>7172.0721000000003</v>
      </c>
      <c r="M19" s="33">
        <v>0.7</v>
      </c>
      <c r="N19" s="79">
        <f t="shared" si="2"/>
        <v>16734.834900000002</v>
      </c>
      <c r="O19" s="33"/>
      <c r="P19" s="79"/>
      <c r="Q19" s="33"/>
      <c r="R19" s="86"/>
      <c r="S19" s="34"/>
      <c r="T19" s="87"/>
    </row>
    <row r="20" spans="1:20" s="82" customFormat="1" ht="30" customHeight="1" thickBot="1" x14ac:dyDescent="0.25">
      <c r="A20" s="83">
        <v>13</v>
      </c>
      <c r="B20" s="84"/>
      <c r="C20" s="78" t="str">
        <f>Orçamento!C252</f>
        <v>Complementação da obra</v>
      </c>
      <c r="D20" s="85">
        <f>Orçamento!G262</f>
        <v>38099.717000000004</v>
      </c>
      <c r="E20" s="33"/>
      <c r="F20" s="79"/>
      <c r="G20" s="33"/>
      <c r="H20" s="79"/>
      <c r="I20" s="33"/>
      <c r="J20" s="79"/>
      <c r="K20" s="33"/>
      <c r="L20" s="79"/>
      <c r="M20" s="33">
        <v>0.3</v>
      </c>
      <c r="N20" s="79">
        <f t="shared" si="2"/>
        <v>11429.9151</v>
      </c>
      <c r="O20" s="33">
        <v>0.7</v>
      </c>
      <c r="P20" s="79">
        <f t="shared" si="3"/>
        <v>26669.801900000002</v>
      </c>
      <c r="Q20" s="33"/>
      <c r="R20" s="86"/>
      <c r="S20" s="34"/>
      <c r="T20" s="87"/>
    </row>
    <row r="21" spans="1:20" s="93" customFormat="1" ht="30" customHeight="1" thickBot="1" x14ac:dyDescent="0.3">
      <c r="A21" s="311" t="s">
        <v>399</v>
      </c>
      <c r="B21" s="312"/>
      <c r="C21" s="313"/>
      <c r="D21" s="88">
        <f>SUM(D8:D20)</f>
        <v>1604468.9737949995</v>
      </c>
      <c r="E21" s="89">
        <f>F21/$D21</f>
        <v>4.4032469342736365E-2</v>
      </c>
      <c r="F21" s="90">
        <f>SUM(F8:F20)</f>
        <v>70648.730899999995</v>
      </c>
      <c r="G21" s="91">
        <f>H21/$D21</f>
        <v>0.2485159124603589</v>
      </c>
      <c r="H21" s="90">
        <f>SUM(H8:H20)</f>
        <v>398736.07103699999</v>
      </c>
      <c r="I21" s="91">
        <f>J21/$D21</f>
        <v>0.22343138517043309</v>
      </c>
      <c r="J21" s="90">
        <f>SUM(J8:J20)</f>
        <v>358488.72527800006</v>
      </c>
      <c r="K21" s="91">
        <f>L21/$D21</f>
        <v>0.1632270002457907</v>
      </c>
      <c r="L21" s="90">
        <f>SUM(L8:L20)</f>
        <v>261892.65757999997</v>
      </c>
      <c r="M21" s="91">
        <f>N21/$D21</f>
        <v>0.24330081390522218</v>
      </c>
      <c r="N21" s="90">
        <f>SUM(N8:N20)</f>
        <v>390368.60720999999</v>
      </c>
      <c r="O21" s="91">
        <f>P21/$D21</f>
        <v>7.7492418875459046E-2</v>
      </c>
      <c r="P21" s="90">
        <f>SUM(P8:P20)</f>
        <v>124334.18179000002</v>
      </c>
      <c r="Q21" s="91">
        <f>R21/$D21</f>
        <v>0</v>
      </c>
      <c r="R21" s="90">
        <f>SUM(R8:R20)</f>
        <v>0</v>
      </c>
      <c r="S21" s="92">
        <f>T21/$D21</f>
        <v>0</v>
      </c>
      <c r="T21" s="105">
        <f>SUM(T8:T20)</f>
        <v>0</v>
      </c>
    </row>
    <row r="22" spans="1:20" s="93" customFormat="1" ht="30" customHeight="1" thickBot="1" x14ac:dyDescent="0.3">
      <c r="A22" s="311" t="s">
        <v>400</v>
      </c>
      <c r="B22" s="312"/>
      <c r="C22" s="313"/>
      <c r="D22" s="88">
        <f>D21</f>
        <v>1604468.9737949995</v>
      </c>
      <c r="E22" s="89">
        <f>F22/D22</f>
        <v>4.4032469342736365E-2</v>
      </c>
      <c r="F22" s="94">
        <f>F21</f>
        <v>70648.730899999995</v>
      </c>
      <c r="G22" s="91">
        <f>H22/D22</f>
        <v>0.29254838180309528</v>
      </c>
      <c r="H22" s="90">
        <f>F22+H21</f>
        <v>469384.80193700001</v>
      </c>
      <c r="I22" s="91">
        <f>J22/D22</f>
        <v>0.51597976697352832</v>
      </c>
      <c r="J22" s="90">
        <f>H22+J21</f>
        <v>827873.52721500001</v>
      </c>
      <c r="K22" s="91">
        <f>L22/D22</f>
        <v>0.67920676721931905</v>
      </c>
      <c r="L22" s="90">
        <f>J22+L21</f>
        <v>1089766.1847949999</v>
      </c>
      <c r="M22" s="91">
        <f>N22/D22</f>
        <v>0.92250758112454123</v>
      </c>
      <c r="N22" s="90">
        <f>L22+N21</f>
        <v>1480134.7920049999</v>
      </c>
      <c r="O22" s="104">
        <f>P22/D22</f>
        <v>1.0000000000000002</v>
      </c>
      <c r="P22" s="90">
        <f>N22+P21</f>
        <v>1604468.973795</v>
      </c>
      <c r="Q22" s="91">
        <f>R22/D22</f>
        <v>1.0000000000000002</v>
      </c>
      <c r="R22" s="90">
        <f>P22+R21</f>
        <v>1604468.973795</v>
      </c>
      <c r="S22" s="95">
        <f>T22/D22</f>
        <v>1.0000000000000002</v>
      </c>
      <c r="T22" s="105">
        <f>R22+T21</f>
        <v>1604468.973795</v>
      </c>
    </row>
    <row r="24" spans="1:20" x14ac:dyDescent="0.2">
      <c r="T24" s="100"/>
    </row>
  </sheetData>
  <mergeCells count="15">
    <mergeCell ref="O6:P6"/>
    <mergeCell ref="Q6:R6"/>
    <mergeCell ref="S6:T6"/>
    <mergeCell ref="A1:T1"/>
    <mergeCell ref="A4:T4"/>
    <mergeCell ref="A6:A7"/>
    <mergeCell ref="C6:C7"/>
    <mergeCell ref="D6:D7"/>
    <mergeCell ref="E6:F6"/>
    <mergeCell ref="G6:H6"/>
    <mergeCell ref="A21:C21"/>
    <mergeCell ref="A22:C22"/>
    <mergeCell ref="I6:J6"/>
    <mergeCell ref="K6:L6"/>
    <mergeCell ref="M6:N6"/>
  </mergeCells>
  <pageMargins left="0.98425196850393704" right="0.39370078740157483" top="0.78740157480314965" bottom="0.39370078740157483" header="0" footer="0"/>
  <pageSetup scale="8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9"/>
  <sheetViews>
    <sheetView showGridLines="0" topLeftCell="A187" workbookViewId="0">
      <selection activeCell="J82" sqref="J1:V1048576"/>
    </sheetView>
  </sheetViews>
  <sheetFormatPr defaultRowHeight="15" x14ac:dyDescent="0.25"/>
  <cols>
    <col min="1" max="3" width="9.140625" style="40"/>
    <col min="4" max="4" width="15.140625" style="40" customWidth="1"/>
    <col min="5" max="5" width="11" style="1" customWidth="1"/>
    <col min="6" max="7" width="9.5703125" style="1" bestFit="1" customWidth="1"/>
    <col min="8" max="8" width="10.5703125" style="1" bestFit="1" customWidth="1"/>
    <col min="9" max="9" width="9.140625" style="1"/>
    <col min="10" max="18" width="9.140625" hidden="1" customWidth="1"/>
    <col min="19" max="22" width="0" hidden="1" customWidth="1"/>
  </cols>
  <sheetData>
    <row r="2" spans="1:9" ht="18.75" x14ac:dyDescent="0.3">
      <c r="A2" s="39" t="s">
        <v>279</v>
      </c>
      <c r="B2" s="39"/>
    </row>
    <row r="5" spans="1:9" ht="15.75" x14ac:dyDescent="0.25">
      <c r="A5" s="41" t="str">
        <f>Orçamento!A1</f>
        <v>PREFEITURA MUNICIPAL DE RODEIO</v>
      </c>
      <c r="B5" s="41"/>
      <c r="C5" s="41"/>
    </row>
    <row r="6" spans="1:9" ht="15.75" x14ac:dyDescent="0.25">
      <c r="A6" s="41" t="str">
        <f>Orçamento!B4</f>
        <v>Obra: Ginásio de Esportes de Rodeio 12</v>
      </c>
      <c r="B6" s="41"/>
      <c r="C6" s="41"/>
    </row>
    <row r="7" spans="1:9" ht="15.75" x14ac:dyDescent="0.25">
      <c r="A7" s="41" t="str">
        <f>Orçamento!B5</f>
        <v>Área: 1490,20m²</v>
      </c>
      <c r="B7" s="41"/>
      <c r="C7" s="41"/>
    </row>
    <row r="8" spans="1:9" ht="15.75" x14ac:dyDescent="0.25">
      <c r="A8" s="41" t="str">
        <f>Orçamento!B6</f>
        <v>Data: Abril/2019</v>
      </c>
      <c r="B8" s="41"/>
      <c r="C8" s="41"/>
    </row>
    <row r="10" spans="1:9" ht="15.75" thickBot="1" x14ac:dyDescent="0.3"/>
    <row r="11" spans="1:9" ht="15.75" thickBot="1" x14ac:dyDescent="0.3">
      <c r="A11" s="42" t="s">
        <v>280</v>
      </c>
      <c r="B11" s="43"/>
      <c r="C11" s="43"/>
      <c r="D11" s="44"/>
      <c r="E11" s="10" t="s">
        <v>281</v>
      </c>
      <c r="F11" s="11"/>
      <c r="G11" s="2"/>
      <c r="H11" s="2"/>
      <c r="I11" s="3"/>
    </row>
    <row r="12" spans="1:9" s="18" customFormat="1" x14ac:dyDescent="0.25">
      <c r="A12" s="106" t="s">
        <v>282</v>
      </c>
      <c r="B12" s="107"/>
      <c r="C12" s="107"/>
      <c r="D12" s="108"/>
      <c r="E12" s="109"/>
      <c r="F12" s="110"/>
      <c r="G12" s="110"/>
      <c r="H12" s="110"/>
      <c r="I12" s="111"/>
    </row>
    <row r="13" spans="1:9" s="18" customFormat="1" x14ac:dyDescent="0.25">
      <c r="A13" s="350" t="s">
        <v>283</v>
      </c>
      <c r="B13" s="351"/>
      <c r="C13" s="351"/>
      <c r="D13" s="352"/>
      <c r="E13" s="112" t="s">
        <v>284</v>
      </c>
      <c r="F13" s="113"/>
      <c r="G13" s="113"/>
      <c r="H13" s="113"/>
      <c r="I13" s="114"/>
    </row>
    <row r="14" spans="1:9" s="18" customFormat="1" x14ac:dyDescent="0.25">
      <c r="A14" s="361"/>
      <c r="B14" s="362"/>
      <c r="C14" s="362"/>
      <c r="D14" s="363"/>
      <c r="E14" s="115" t="s">
        <v>285</v>
      </c>
      <c r="F14" s="116">
        <v>2.5</v>
      </c>
      <c r="G14" s="116">
        <v>4</v>
      </c>
      <c r="H14" s="116">
        <f>F14*G14</f>
        <v>10</v>
      </c>
      <c r="I14" s="117" t="s">
        <v>16</v>
      </c>
    </row>
    <row r="15" spans="1:9" s="18" customFormat="1" x14ac:dyDescent="0.25">
      <c r="A15" s="341" t="s">
        <v>286</v>
      </c>
      <c r="B15" s="342"/>
      <c r="C15" s="342"/>
      <c r="D15" s="343"/>
      <c r="E15" s="118" t="s">
        <v>287</v>
      </c>
      <c r="F15" s="119"/>
      <c r="G15" s="119"/>
      <c r="H15" s="119"/>
      <c r="I15" s="120"/>
    </row>
    <row r="16" spans="1:9" s="18" customFormat="1" x14ac:dyDescent="0.25">
      <c r="A16" s="341" t="s">
        <v>288</v>
      </c>
      <c r="B16" s="342"/>
      <c r="C16" s="342"/>
      <c r="D16" s="343"/>
      <c r="E16" s="121"/>
      <c r="F16" s="122"/>
      <c r="G16" s="122"/>
      <c r="H16" s="122"/>
      <c r="I16" s="123"/>
    </row>
    <row r="17" spans="1:9" s="18" customFormat="1" x14ac:dyDescent="0.25">
      <c r="A17" s="341" t="s">
        <v>289</v>
      </c>
      <c r="B17" s="342"/>
      <c r="C17" s="342"/>
      <c r="D17" s="343"/>
      <c r="E17" s="121" t="s">
        <v>290</v>
      </c>
      <c r="F17" s="122">
        <v>1.2</v>
      </c>
      <c r="G17" s="122">
        <v>2.4</v>
      </c>
      <c r="H17" s="122">
        <f>F17*G17</f>
        <v>2.88</v>
      </c>
      <c r="I17" s="123" t="s">
        <v>16</v>
      </c>
    </row>
    <row r="18" spans="1:9" s="18" customFormat="1" x14ac:dyDescent="0.25">
      <c r="A18" s="341" t="s">
        <v>291</v>
      </c>
      <c r="B18" s="342"/>
      <c r="C18" s="342"/>
      <c r="D18" s="343"/>
      <c r="E18" s="121" t="s">
        <v>290</v>
      </c>
      <c r="F18" s="122">
        <v>1</v>
      </c>
      <c r="G18" s="122">
        <v>2</v>
      </c>
      <c r="H18" s="122">
        <f>F18*G18</f>
        <v>2</v>
      </c>
      <c r="I18" s="123" t="s">
        <v>16</v>
      </c>
    </row>
    <row r="19" spans="1:9" s="18" customFormat="1" hidden="1" x14ac:dyDescent="0.25">
      <c r="A19" s="341" t="s">
        <v>292</v>
      </c>
      <c r="B19" s="342"/>
      <c r="C19" s="342"/>
      <c r="D19" s="343"/>
      <c r="E19" s="121" t="s">
        <v>293</v>
      </c>
      <c r="F19" s="122">
        <v>28</v>
      </c>
      <c r="G19" s="122">
        <v>42</v>
      </c>
      <c r="H19" s="122">
        <f>F19*G19</f>
        <v>1176</v>
      </c>
      <c r="I19" s="123" t="s">
        <v>16</v>
      </c>
    </row>
    <row r="20" spans="1:9" s="18" customFormat="1" hidden="1" x14ac:dyDescent="0.25">
      <c r="A20" s="341" t="s">
        <v>294</v>
      </c>
      <c r="B20" s="342"/>
      <c r="C20" s="342"/>
      <c r="D20" s="343"/>
      <c r="E20" s="359" t="s">
        <v>295</v>
      </c>
      <c r="F20" s="360"/>
      <c r="G20" s="360"/>
      <c r="H20" s="122">
        <f>(28+28+28+42+42)*5</f>
        <v>840</v>
      </c>
      <c r="I20" s="123" t="s">
        <v>16</v>
      </c>
    </row>
    <row r="21" spans="1:9" s="18" customFormat="1" hidden="1" x14ac:dyDescent="0.25">
      <c r="A21" s="341" t="s">
        <v>296</v>
      </c>
      <c r="B21" s="342"/>
      <c r="C21" s="342"/>
      <c r="D21" s="343"/>
      <c r="E21" s="121" t="s">
        <v>293</v>
      </c>
      <c r="F21" s="122">
        <v>28</v>
      </c>
      <c r="G21" s="122">
        <v>42</v>
      </c>
      <c r="H21" s="122">
        <f>F21*G21</f>
        <v>1176</v>
      </c>
      <c r="I21" s="123" t="s">
        <v>16</v>
      </c>
    </row>
    <row r="22" spans="1:9" s="18" customFormat="1" x14ac:dyDescent="0.25">
      <c r="A22" s="341" t="s">
        <v>297</v>
      </c>
      <c r="B22" s="342"/>
      <c r="C22" s="342"/>
      <c r="D22" s="343"/>
      <c r="E22" s="118" t="s">
        <v>298</v>
      </c>
      <c r="F22" s="119"/>
      <c r="G22" s="119"/>
      <c r="H22" s="119">
        <v>1490.2</v>
      </c>
      <c r="I22" s="120" t="s">
        <v>16</v>
      </c>
    </row>
    <row r="23" spans="1:9" s="18" customFormat="1" x14ac:dyDescent="0.25">
      <c r="A23" s="344" t="s">
        <v>299</v>
      </c>
      <c r="B23" s="345"/>
      <c r="C23" s="345"/>
      <c r="D23" s="346"/>
      <c r="E23" s="124"/>
      <c r="F23" s="125"/>
      <c r="G23" s="125"/>
      <c r="H23" s="125"/>
      <c r="I23" s="126"/>
    </row>
    <row r="24" spans="1:9" s="18" customFormat="1" x14ac:dyDescent="0.25">
      <c r="A24" s="356" t="s">
        <v>300</v>
      </c>
      <c r="B24" s="354"/>
      <c r="C24" s="354"/>
      <c r="D24" s="355"/>
      <c r="E24" s="350" t="s">
        <v>301</v>
      </c>
      <c r="F24" s="351"/>
      <c r="G24" s="351"/>
      <c r="H24" s="351"/>
      <c r="I24" s="352"/>
    </row>
    <row r="25" spans="1:9" s="18" customFormat="1" x14ac:dyDescent="0.25">
      <c r="A25" s="357"/>
      <c r="B25" s="348"/>
      <c r="C25" s="348"/>
      <c r="D25" s="349"/>
      <c r="E25" s="112" t="s">
        <v>302</v>
      </c>
      <c r="F25" s="113"/>
      <c r="G25" s="113"/>
      <c r="H25" s="113"/>
      <c r="I25" s="114"/>
    </row>
    <row r="26" spans="1:9" s="18" customFormat="1" ht="15.75" thickBot="1" x14ac:dyDescent="0.3">
      <c r="A26" s="357"/>
      <c r="B26" s="348"/>
      <c r="C26" s="348"/>
      <c r="D26" s="349"/>
      <c r="E26" s="112" t="s">
        <v>303</v>
      </c>
      <c r="F26" s="127">
        <f>18*2</f>
        <v>36</v>
      </c>
      <c r="G26" s="113">
        <v>15</v>
      </c>
      <c r="H26" s="113">
        <f>F26*G26</f>
        <v>540</v>
      </c>
      <c r="I26" s="114" t="s">
        <v>38</v>
      </c>
    </row>
    <row r="27" spans="1:9" s="18" customFormat="1" x14ac:dyDescent="0.25">
      <c r="A27" s="332" t="s">
        <v>304</v>
      </c>
      <c r="B27" s="358"/>
      <c r="C27" s="358"/>
      <c r="D27" s="358"/>
      <c r="E27" s="128" t="s">
        <v>305</v>
      </c>
      <c r="F27" s="129"/>
      <c r="G27" s="129">
        <v>2.71</v>
      </c>
      <c r="H27" s="129">
        <f>G27*1.05</f>
        <v>2.8454999999999999</v>
      </c>
      <c r="I27" s="130" t="s">
        <v>42</v>
      </c>
    </row>
    <row r="28" spans="1:9" s="18" customFormat="1" x14ac:dyDescent="0.25">
      <c r="A28" s="357"/>
      <c r="B28" s="348"/>
      <c r="C28" s="348"/>
      <c r="D28" s="348"/>
      <c r="E28" s="131" t="s">
        <v>306</v>
      </c>
      <c r="F28" s="113"/>
      <c r="G28" s="113">
        <f>6.92</f>
        <v>6.92</v>
      </c>
      <c r="H28" s="113">
        <f>G28*1.05</f>
        <v>7.266</v>
      </c>
      <c r="I28" s="114" t="s">
        <v>42</v>
      </c>
    </row>
    <row r="29" spans="1:9" s="18" customFormat="1" x14ac:dyDescent="0.25">
      <c r="A29" s="357"/>
      <c r="B29" s="348"/>
      <c r="C29" s="348"/>
      <c r="D29" s="348"/>
      <c r="E29" s="131" t="s">
        <v>636</v>
      </c>
      <c r="F29" s="113"/>
      <c r="G29" s="113">
        <f>0.3*2*1</f>
        <v>0.6</v>
      </c>
      <c r="H29" s="113">
        <f>G29*1.05</f>
        <v>0.63</v>
      </c>
      <c r="I29" s="114" t="s">
        <v>42</v>
      </c>
    </row>
    <row r="30" spans="1:9" s="18" customFormat="1" ht="15.75" thickBot="1" x14ac:dyDescent="0.3">
      <c r="A30" s="132"/>
      <c r="B30" s="133"/>
      <c r="C30" s="133"/>
      <c r="D30" s="133"/>
      <c r="E30" s="134" t="s">
        <v>325</v>
      </c>
      <c r="F30" s="135"/>
      <c r="G30" s="135"/>
      <c r="H30" s="135">
        <f>SUM(H27:H29)</f>
        <v>10.7415</v>
      </c>
      <c r="I30" s="136" t="s">
        <v>42</v>
      </c>
    </row>
    <row r="31" spans="1:9" s="18" customFormat="1" x14ac:dyDescent="0.25">
      <c r="A31" s="347" t="s">
        <v>307</v>
      </c>
      <c r="B31" s="348"/>
      <c r="C31" s="348"/>
      <c r="D31" s="349"/>
      <c r="E31" s="131" t="s">
        <v>308</v>
      </c>
      <c r="F31" s="113"/>
      <c r="G31" s="113"/>
      <c r="H31" s="113"/>
      <c r="I31" s="137"/>
    </row>
    <row r="32" spans="1:9" s="18" customFormat="1" x14ac:dyDescent="0.25">
      <c r="A32" s="138"/>
      <c r="B32" s="139"/>
      <c r="C32" s="139"/>
      <c r="D32" s="140"/>
      <c r="E32" s="131" t="s">
        <v>309</v>
      </c>
      <c r="F32" s="113">
        <v>0.55000000000000004</v>
      </c>
      <c r="G32" s="113">
        <v>0.9</v>
      </c>
      <c r="H32" s="113">
        <f>F32*G32</f>
        <v>0.49500000000000005</v>
      </c>
      <c r="I32" s="137"/>
    </row>
    <row r="33" spans="1:9" s="18" customFormat="1" x14ac:dyDescent="0.25">
      <c r="A33" s="138"/>
      <c r="B33" s="139"/>
      <c r="C33" s="139"/>
      <c r="D33" s="140"/>
      <c r="E33" s="131" t="s">
        <v>310</v>
      </c>
      <c r="F33" s="113">
        <v>0.7</v>
      </c>
      <c r="G33" s="113">
        <v>0.9</v>
      </c>
      <c r="H33" s="113">
        <f t="shared" ref="H33:H35" si="0">F33*G33</f>
        <v>0.63</v>
      </c>
      <c r="I33" s="137"/>
    </row>
    <row r="34" spans="1:9" s="18" customFormat="1" x14ac:dyDescent="0.25">
      <c r="A34" s="138"/>
      <c r="B34" s="139"/>
      <c r="C34" s="139"/>
      <c r="D34" s="140"/>
      <c r="E34" s="131" t="s">
        <v>311</v>
      </c>
      <c r="F34" s="113">
        <v>0.75</v>
      </c>
      <c r="G34" s="113">
        <v>0.9</v>
      </c>
      <c r="H34" s="113">
        <f t="shared" si="0"/>
        <v>0.67500000000000004</v>
      </c>
      <c r="I34" s="137"/>
    </row>
    <row r="35" spans="1:9" s="18" customFormat="1" x14ac:dyDescent="0.25">
      <c r="A35" s="138"/>
      <c r="B35" s="139"/>
      <c r="C35" s="139"/>
      <c r="D35" s="140"/>
      <c r="E35" s="141" t="s">
        <v>312</v>
      </c>
      <c r="F35" s="116">
        <v>0.9</v>
      </c>
      <c r="G35" s="116">
        <v>0.9</v>
      </c>
      <c r="H35" s="116">
        <f t="shared" si="0"/>
        <v>0.81</v>
      </c>
      <c r="I35" s="142"/>
    </row>
    <row r="36" spans="1:9" s="18" customFormat="1" x14ac:dyDescent="0.25">
      <c r="A36" s="138"/>
      <c r="B36" s="139"/>
      <c r="C36" s="139"/>
      <c r="D36" s="140"/>
      <c r="E36" s="131" t="s">
        <v>313</v>
      </c>
      <c r="F36" s="113">
        <f>H32</f>
        <v>0.49500000000000005</v>
      </c>
      <c r="G36" s="113">
        <v>6</v>
      </c>
      <c r="H36" s="113">
        <f>G36*F36</f>
        <v>2.97</v>
      </c>
      <c r="I36" s="137"/>
    </row>
    <row r="37" spans="1:9" s="18" customFormat="1" x14ac:dyDescent="0.25">
      <c r="A37" s="138"/>
      <c r="B37" s="139"/>
      <c r="C37" s="139"/>
      <c r="D37" s="140"/>
      <c r="E37" s="131" t="s">
        <v>310</v>
      </c>
      <c r="F37" s="113">
        <f>H33</f>
        <v>0.63</v>
      </c>
      <c r="G37" s="113">
        <v>1</v>
      </c>
      <c r="H37" s="113">
        <f>G37*F37</f>
        <v>0.63</v>
      </c>
      <c r="I37" s="137"/>
    </row>
    <row r="38" spans="1:9" s="18" customFormat="1" x14ac:dyDescent="0.25">
      <c r="A38" s="138"/>
      <c r="B38" s="139"/>
      <c r="C38" s="139"/>
      <c r="D38" s="140"/>
      <c r="E38" s="131" t="s">
        <v>311</v>
      </c>
      <c r="F38" s="113">
        <f>H34</f>
        <v>0.67500000000000004</v>
      </c>
      <c r="G38" s="113">
        <v>6</v>
      </c>
      <c r="H38" s="113">
        <f>G38*F38</f>
        <v>4.0500000000000007</v>
      </c>
      <c r="I38" s="137"/>
    </row>
    <row r="39" spans="1:9" s="18" customFormat="1" x14ac:dyDescent="0.25">
      <c r="A39" s="138"/>
      <c r="B39" s="139"/>
      <c r="C39" s="139"/>
      <c r="D39" s="140"/>
      <c r="E39" s="141" t="s">
        <v>312</v>
      </c>
      <c r="F39" s="116">
        <f>H35</f>
        <v>0.81</v>
      </c>
      <c r="G39" s="116">
        <v>6</v>
      </c>
      <c r="H39" s="116">
        <f>G39*F39</f>
        <v>4.8600000000000003</v>
      </c>
      <c r="I39" s="142"/>
    </row>
    <row r="40" spans="1:9" s="18" customFormat="1" x14ac:dyDescent="0.25">
      <c r="A40" s="138"/>
      <c r="B40" s="139"/>
      <c r="C40" s="139"/>
      <c r="D40" s="140"/>
      <c r="E40" s="143" t="s">
        <v>314</v>
      </c>
      <c r="F40" s="144">
        <f>SUM(H36:H39)</f>
        <v>12.510000000000002</v>
      </c>
      <c r="G40" s="144">
        <v>0.5</v>
      </c>
      <c r="H40" s="144">
        <f>G40*F40</f>
        <v>6.2550000000000008</v>
      </c>
      <c r="I40" s="145"/>
    </row>
    <row r="41" spans="1:9" s="18" customFormat="1" x14ac:dyDescent="0.25">
      <c r="A41" s="138"/>
      <c r="B41" s="139"/>
      <c r="C41" s="139"/>
      <c r="D41" s="140"/>
      <c r="E41" s="131" t="s">
        <v>315</v>
      </c>
      <c r="F41" s="113"/>
      <c r="G41" s="113"/>
      <c r="H41" s="113"/>
      <c r="I41" s="137"/>
    </row>
    <row r="42" spans="1:9" s="18" customFormat="1" x14ac:dyDescent="0.25">
      <c r="A42" s="138"/>
      <c r="B42" s="139"/>
      <c r="C42" s="139"/>
      <c r="D42" s="140"/>
      <c r="E42" s="131" t="s">
        <v>309</v>
      </c>
      <c r="F42" s="113">
        <v>0.8</v>
      </c>
      <c r="G42" s="113">
        <v>0.8</v>
      </c>
      <c r="H42" s="113">
        <f>F42*G42</f>
        <v>0.64000000000000012</v>
      </c>
      <c r="I42" s="137"/>
    </row>
    <row r="43" spans="1:9" s="18" customFormat="1" x14ac:dyDescent="0.25">
      <c r="A43" s="138"/>
      <c r="B43" s="139"/>
      <c r="C43" s="139"/>
      <c r="D43" s="140"/>
      <c r="E43" s="131" t="s">
        <v>316</v>
      </c>
      <c r="F43" s="113">
        <v>1.2</v>
      </c>
      <c r="G43" s="113">
        <v>1.2</v>
      </c>
      <c r="H43" s="113">
        <f t="shared" ref="H43:H44" si="1">F43*G43</f>
        <v>1.44</v>
      </c>
      <c r="I43" s="137"/>
    </row>
    <row r="44" spans="1:9" s="18" customFormat="1" x14ac:dyDescent="0.25">
      <c r="A44" s="138"/>
      <c r="B44" s="139"/>
      <c r="C44" s="139"/>
      <c r="D44" s="140"/>
      <c r="E44" s="141" t="s">
        <v>317</v>
      </c>
      <c r="F44" s="116">
        <v>0.8</v>
      </c>
      <c r="G44" s="116">
        <v>2.5</v>
      </c>
      <c r="H44" s="116">
        <f t="shared" si="1"/>
        <v>2</v>
      </c>
      <c r="I44" s="142"/>
    </row>
    <row r="45" spans="1:9" s="18" customFormat="1" x14ac:dyDescent="0.25">
      <c r="A45" s="138"/>
      <c r="B45" s="139"/>
      <c r="C45" s="139"/>
      <c r="D45" s="140"/>
      <c r="E45" s="131" t="s">
        <v>309</v>
      </c>
      <c r="F45" s="113">
        <f>H42</f>
        <v>0.64000000000000012</v>
      </c>
      <c r="G45" s="113">
        <v>6</v>
      </c>
      <c r="H45" s="113">
        <f>G45*F45</f>
        <v>3.8400000000000007</v>
      </c>
      <c r="I45" s="137"/>
    </row>
    <row r="46" spans="1:9" s="18" customFormat="1" x14ac:dyDescent="0.25">
      <c r="A46" s="138"/>
      <c r="B46" s="139"/>
      <c r="C46" s="139"/>
      <c r="D46" s="140"/>
      <c r="E46" s="131" t="s">
        <v>316</v>
      </c>
      <c r="F46" s="113">
        <f>H43</f>
        <v>1.44</v>
      </c>
      <c r="G46" s="113">
        <v>10</v>
      </c>
      <c r="H46" s="113">
        <f>G46*F46</f>
        <v>14.399999999999999</v>
      </c>
      <c r="I46" s="137"/>
    </row>
    <row r="47" spans="1:9" s="18" customFormat="1" x14ac:dyDescent="0.25">
      <c r="A47" s="138"/>
      <c r="B47" s="139"/>
      <c r="C47" s="139"/>
      <c r="D47" s="140"/>
      <c r="E47" s="141" t="s">
        <v>317</v>
      </c>
      <c r="F47" s="116">
        <f>H44</f>
        <v>2</v>
      </c>
      <c r="G47" s="116">
        <v>1</v>
      </c>
      <c r="H47" s="116">
        <f>G47*F47</f>
        <v>2</v>
      </c>
      <c r="I47" s="142"/>
    </row>
    <row r="48" spans="1:9" s="18" customFormat="1" x14ac:dyDescent="0.25">
      <c r="A48" s="138"/>
      <c r="B48" s="139"/>
      <c r="C48" s="139"/>
      <c r="D48" s="140"/>
      <c r="E48" s="143" t="s">
        <v>314</v>
      </c>
      <c r="F48" s="144">
        <f>SUM(H45:H47)</f>
        <v>20.239999999999998</v>
      </c>
      <c r="G48" s="144">
        <v>0.5</v>
      </c>
      <c r="H48" s="144">
        <f>G48*F48</f>
        <v>10.119999999999999</v>
      </c>
      <c r="I48" s="145"/>
    </row>
    <row r="49" spans="1:9" s="18" customFormat="1" x14ac:dyDescent="0.25">
      <c r="A49" s="146"/>
      <c r="B49" s="147"/>
      <c r="C49" s="147"/>
      <c r="D49" s="148"/>
      <c r="E49" s="149" t="s">
        <v>318</v>
      </c>
      <c r="F49" s="150"/>
      <c r="G49" s="150"/>
      <c r="H49" s="150">
        <f>H48+H40</f>
        <v>16.375</v>
      </c>
      <c r="I49" s="151" t="s">
        <v>42</v>
      </c>
    </row>
    <row r="50" spans="1:9" s="18" customFormat="1" x14ac:dyDescent="0.25">
      <c r="A50" s="152" t="s">
        <v>319</v>
      </c>
      <c r="B50" s="153"/>
      <c r="C50" s="153"/>
      <c r="D50" s="154"/>
      <c r="E50" s="155" t="s">
        <v>320</v>
      </c>
      <c r="F50" s="156"/>
      <c r="G50" s="156">
        <v>18</v>
      </c>
      <c r="H50" s="157">
        <f>G50</f>
        <v>18</v>
      </c>
      <c r="I50" s="158" t="s">
        <v>321</v>
      </c>
    </row>
    <row r="51" spans="1:9" s="18" customFormat="1" x14ac:dyDescent="0.25">
      <c r="A51" s="138" t="s">
        <v>322</v>
      </c>
      <c r="B51" s="139"/>
      <c r="C51" s="139"/>
      <c r="D51" s="140"/>
      <c r="E51" s="131" t="s">
        <v>323</v>
      </c>
      <c r="F51" s="159">
        <v>1.5</v>
      </c>
      <c r="G51" s="159">
        <v>1.5</v>
      </c>
      <c r="H51" s="159">
        <f>G51*F51</f>
        <v>2.25</v>
      </c>
      <c r="I51" s="160" t="s">
        <v>16</v>
      </c>
    </row>
    <row r="52" spans="1:9" s="18" customFormat="1" x14ac:dyDescent="0.25">
      <c r="A52" s="138"/>
      <c r="B52" s="139"/>
      <c r="C52" s="139"/>
      <c r="D52" s="140"/>
      <c r="E52" s="131" t="s">
        <v>324</v>
      </c>
      <c r="F52" s="159"/>
      <c r="G52" s="159">
        <v>1.5</v>
      </c>
      <c r="H52" s="159">
        <f>G52</f>
        <v>1.5</v>
      </c>
      <c r="I52" s="160" t="s">
        <v>38</v>
      </c>
    </row>
    <row r="53" spans="1:9" s="18" customFormat="1" x14ac:dyDescent="0.25">
      <c r="A53" s="146"/>
      <c r="B53" s="147"/>
      <c r="C53" s="147"/>
      <c r="D53" s="147"/>
      <c r="E53" s="161" t="s">
        <v>325</v>
      </c>
      <c r="F53" s="125"/>
      <c r="G53" s="125"/>
      <c r="H53" s="125">
        <f>H50*H51*H52</f>
        <v>60.75</v>
      </c>
      <c r="I53" s="162" t="s">
        <v>42</v>
      </c>
    </row>
    <row r="54" spans="1:9" s="18" customFormat="1" x14ac:dyDescent="0.25">
      <c r="A54" s="163" t="s">
        <v>326</v>
      </c>
      <c r="B54" s="164"/>
      <c r="C54" s="164"/>
      <c r="D54" s="165"/>
      <c r="E54" s="166" t="s">
        <v>327</v>
      </c>
      <c r="F54" s="125">
        <v>18</v>
      </c>
      <c r="G54" s="125">
        <v>2</v>
      </c>
      <c r="H54" s="125">
        <f>F54*G54</f>
        <v>36</v>
      </c>
      <c r="I54" s="162" t="s">
        <v>20</v>
      </c>
    </row>
    <row r="55" spans="1:9" s="18" customFormat="1" x14ac:dyDescent="0.25">
      <c r="A55" s="152" t="s">
        <v>328</v>
      </c>
      <c r="B55" s="153"/>
      <c r="C55" s="153"/>
      <c r="D55" s="154"/>
      <c r="E55" s="155" t="s">
        <v>329</v>
      </c>
      <c r="F55" s="122"/>
      <c r="G55" s="122"/>
      <c r="H55" s="122"/>
      <c r="I55" s="167"/>
    </row>
    <row r="56" spans="1:9" s="18" customFormat="1" x14ac:dyDescent="0.25">
      <c r="A56" s="138"/>
      <c r="B56" s="139"/>
      <c r="C56" s="139"/>
      <c r="D56" s="140"/>
      <c r="E56" s="131" t="s">
        <v>330</v>
      </c>
      <c r="F56" s="113">
        <v>6.73</v>
      </c>
      <c r="G56" s="168">
        <v>0.05</v>
      </c>
      <c r="H56" s="113">
        <f>F56+(G56*F56)</f>
        <v>7.0665000000000004</v>
      </c>
      <c r="I56" s="137" t="s">
        <v>42</v>
      </c>
    </row>
    <row r="57" spans="1:9" s="18" customFormat="1" x14ac:dyDescent="0.25">
      <c r="A57" s="138"/>
      <c r="B57" s="139"/>
      <c r="C57" s="139"/>
      <c r="D57" s="139"/>
      <c r="E57" s="169" t="s">
        <v>331</v>
      </c>
      <c r="F57" s="122"/>
      <c r="G57" s="122"/>
      <c r="H57" s="122"/>
      <c r="I57" s="167"/>
    </row>
    <row r="58" spans="1:9" s="18" customFormat="1" x14ac:dyDescent="0.25">
      <c r="A58" s="138"/>
      <c r="B58" s="139"/>
      <c r="C58" s="139"/>
      <c r="D58" s="139"/>
      <c r="E58" s="170" t="s">
        <v>330</v>
      </c>
      <c r="F58" s="116">
        <v>8.02</v>
      </c>
      <c r="G58" s="171">
        <v>0.05</v>
      </c>
      <c r="H58" s="116">
        <f>F58+(G58*F58)</f>
        <v>8.4209999999999994</v>
      </c>
      <c r="I58" s="142" t="s">
        <v>42</v>
      </c>
    </row>
    <row r="59" spans="1:9" s="18" customFormat="1" x14ac:dyDescent="0.25">
      <c r="A59" s="146"/>
      <c r="B59" s="147"/>
      <c r="C59" s="147"/>
      <c r="D59" s="148"/>
      <c r="E59" s="149" t="s">
        <v>325</v>
      </c>
      <c r="F59" s="150"/>
      <c r="G59" s="150"/>
      <c r="H59" s="150">
        <f>H58+H56</f>
        <v>15.487500000000001</v>
      </c>
      <c r="I59" s="151" t="s">
        <v>42</v>
      </c>
    </row>
    <row r="60" spans="1:9" s="18" customFormat="1" x14ac:dyDescent="0.25">
      <c r="A60" s="172" t="s">
        <v>332</v>
      </c>
      <c r="B60" s="139"/>
      <c r="C60" s="139"/>
      <c r="D60" s="140"/>
      <c r="E60" s="173" t="s">
        <v>333</v>
      </c>
      <c r="F60" s="174"/>
      <c r="G60" s="174"/>
      <c r="H60" s="174"/>
      <c r="I60" s="175"/>
    </row>
    <row r="61" spans="1:9" s="18" customFormat="1" x14ac:dyDescent="0.25">
      <c r="A61" s="172"/>
      <c r="B61" s="139"/>
      <c r="C61" s="139"/>
      <c r="D61" s="140"/>
      <c r="E61" s="329" t="s">
        <v>334</v>
      </c>
      <c r="F61" s="330"/>
      <c r="G61" s="330"/>
      <c r="H61" s="330"/>
      <c r="I61" s="331"/>
    </row>
    <row r="62" spans="1:9" s="18" customFormat="1" x14ac:dyDescent="0.25">
      <c r="A62" s="172"/>
      <c r="B62" s="139"/>
      <c r="C62" s="139"/>
      <c r="D62" s="140"/>
      <c r="E62" s="329"/>
      <c r="F62" s="330"/>
      <c r="G62" s="330"/>
      <c r="H62" s="330"/>
      <c r="I62" s="331"/>
    </row>
    <row r="63" spans="1:9" s="18" customFormat="1" x14ac:dyDescent="0.25">
      <c r="A63" s="172"/>
      <c r="B63" s="139"/>
      <c r="C63" s="139"/>
      <c r="D63" s="140"/>
      <c r="E63" s="173"/>
      <c r="F63" s="174"/>
      <c r="G63" s="174"/>
      <c r="H63" s="176">
        <f>((5.25*8)+(22*2)+4.4+2+4.41+3.9+3.9+5.4+1.5+4.14+22.35+4.14)*0.35</f>
        <v>49.749000000000002</v>
      </c>
      <c r="I63" s="175" t="s">
        <v>16</v>
      </c>
    </row>
    <row r="64" spans="1:9" s="18" customFormat="1" x14ac:dyDescent="0.25">
      <c r="A64" s="172"/>
      <c r="B64" s="139"/>
      <c r="C64" s="139"/>
      <c r="D64" s="140"/>
      <c r="E64" s="173"/>
      <c r="F64" s="174"/>
      <c r="G64" s="174"/>
      <c r="H64" s="174"/>
      <c r="I64" s="175"/>
    </row>
    <row r="65" spans="1:9" s="18" customFormat="1" x14ac:dyDescent="0.25">
      <c r="A65" s="344" t="s">
        <v>335</v>
      </c>
      <c r="B65" s="345"/>
      <c r="C65" s="345"/>
      <c r="D65" s="346"/>
      <c r="E65" s="118"/>
      <c r="F65" s="119"/>
      <c r="G65" s="119"/>
      <c r="H65" s="119"/>
      <c r="I65" s="120"/>
    </row>
    <row r="66" spans="1:9" s="18" customFormat="1" ht="15.75" thickBot="1" x14ac:dyDescent="0.3">
      <c r="A66" s="356" t="s">
        <v>336</v>
      </c>
      <c r="B66" s="354"/>
      <c r="C66" s="354"/>
      <c r="D66" s="355"/>
      <c r="E66" s="121" t="s">
        <v>410</v>
      </c>
      <c r="F66" s="122">
        <v>24.75</v>
      </c>
      <c r="G66" s="122">
        <v>45.15</v>
      </c>
      <c r="H66" s="122">
        <f>G66*F66</f>
        <v>1117.4624999999999</v>
      </c>
      <c r="I66" s="123" t="s">
        <v>16</v>
      </c>
    </row>
    <row r="67" spans="1:9" s="177" customFormat="1" x14ac:dyDescent="0.25">
      <c r="A67" s="152" t="s">
        <v>337</v>
      </c>
      <c r="B67" s="153"/>
      <c r="C67" s="153"/>
      <c r="D67" s="153"/>
      <c r="E67" s="155" t="s">
        <v>329</v>
      </c>
      <c r="F67" s="129"/>
      <c r="G67" s="129"/>
      <c r="H67" s="129"/>
      <c r="I67" s="130"/>
    </row>
    <row r="68" spans="1:9" s="177" customFormat="1" x14ac:dyDescent="0.25">
      <c r="A68" s="138"/>
      <c r="B68" s="139"/>
      <c r="C68" s="139"/>
      <c r="D68" s="139"/>
      <c r="E68" s="112" t="s">
        <v>338</v>
      </c>
      <c r="F68" s="113">
        <v>1.98</v>
      </c>
      <c r="G68" s="178">
        <v>0.05</v>
      </c>
      <c r="H68" s="113">
        <f>F68+(G68*F68)</f>
        <v>2.0790000000000002</v>
      </c>
      <c r="I68" s="114" t="s">
        <v>42</v>
      </c>
    </row>
    <row r="69" spans="1:9" s="177" customFormat="1" x14ac:dyDescent="0.25">
      <c r="A69" s="138"/>
      <c r="B69" s="139"/>
      <c r="C69" s="139"/>
      <c r="D69" s="139"/>
      <c r="E69" s="115" t="s">
        <v>339</v>
      </c>
      <c r="F69" s="116">
        <v>6.06</v>
      </c>
      <c r="G69" s="179">
        <v>0.05</v>
      </c>
      <c r="H69" s="116">
        <f>F69+(G69*F69)</f>
        <v>6.3629999999999995</v>
      </c>
      <c r="I69" s="117" t="s">
        <v>42</v>
      </c>
    </row>
    <row r="70" spans="1:9" s="177" customFormat="1" x14ac:dyDescent="0.25">
      <c r="A70" s="138"/>
      <c r="B70" s="139"/>
      <c r="C70" s="139"/>
      <c r="D70" s="139"/>
      <c r="E70" s="131" t="s">
        <v>340</v>
      </c>
      <c r="F70" s="113"/>
      <c r="G70" s="178"/>
      <c r="H70" s="113"/>
      <c r="I70" s="114"/>
    </row>
    <row r="71" spans="1:9" s="177" customFormat="1" x14ac:dyDescent="0.25">
      <c r="A71" s="138"/>
      <c r="B71" s="139"/>
      <c r="C71" s="139"/>
      <c r="D71" s="139"/>
      <c r="E71" s="112" t="s">
        <v>338</v>
      </c>
      <c r="F71" s="113">
        <v>2.0299999999999998</v>
      </c>
      <c r="G71" s="178">
        <v>0.05</v>
      </c>
      <c r="H71" s="113">
        <f>F71+(G71*F71)</f>
        <v>2.1315</v>
      </c>
      <c r="I71" s="114" t="s">
        <v>42</v>
      </c>
    </row>
    <row r="72" spans="1:9" s="177" customFormat="1" x14ac:dyDescent="0.25">
      <c r="A72" s="138"/>
      <c r="B72" s="139"/>
      <c r="C72" s="139"/>
      <c r="D72" s="139"/>
      <c r="E72" s="112" t="s">
        <v>341</v>
      </c>
      <c r="F72" s="113">
        <v>3.62</v>
      </c>
      <c r="G72" s="178">
        <v>0.05</v>
      </c>
      <c r="H72" s="113">
        <f>F72+(G72*F72)</f>
        <v>3.8010000000000002</v>
      </c>
      <c r="I72" s="114" t="s">
        <v>42</v>
      </c>
    </row>
    <row r="73" spans="1:9" s="177" customFormat="1" x14ac:dyDescent="0.25">
      <c r="A73" s="138"/>
      <c r="B73" s="139"/>
      <c r="C73" s="139"/>
      <c r="D73" s="139"/>
      <c r="E73" s="180" t="s">
        <v>325</v>
      </c>
      <c r="F73" s="174"/>
      <c r="G73" s="174"/>
      <c r="H73" s="174">
        <f>H68+H69+H71+H72</f>
        <v>14.374499999999999</v>
      </c>
      <c r="I73" s="175" t="s">
        <v>42</v>
      </c>
    </row>
    <row r="74" spans="1:9" s="18" customFormat="1" ht="15.75" thickBot="1" x14ac:dyDescent="0.3">
      <c r="A74" s="353" t="s">
        <v>342</v>
      </c>
      <c r="B74" s="354"/>
      <c r="C74" s="354"/>
      <c r="D74" s="355"/>
      <c r="E74" s="121"/>
      <c r="F74" s="122"/>
      <c r="G74" s="122"/>
      <c r="H74" s="122"/>
      <c r="I74" s="167"/>
    </row>
    <row r="75" spans="1:9" s="18" customFormat="1" x14ac:dyDescent="0.25">
      <c r="A75" s="332" t="s">
        <v>343</v>
      </c>
      <c r="B75" s="333"/>
      <c r="C75" s="333"/>
      <c r="D75" s="334"/>
      <c r="E75" s="129" t="s">
        <v>344</v>
      </c>
      <c r="F75" s="129"/>
      <c r="G75" s="129"/>
      <c r="H75" s="181"/>
      <c r="I75" s="130"/>
    </row>
    <row r="76" spans="1:9" s="18" customFormat="1" x14ac:dyDescent="0.25">
      <c r="A76" s="335"/>
      <c r="B76" s="336"/>
      <c r="C76" s="336"/>
      <c r="D76" s="337"/>
      <c r="E76" s="113" t="s">
        <v>345</v>
      </c>
      <c r="F76" s="113">
        <v>115.5</v>
      </c>
      <c r="G76" s="113">
        <v>-11.7</v>
      </c>
      <c r="H76" s="113">
        <f>F76+G76</f>
        <v>103.8</v>
      </c>
      <c r="I76" s="114" t="s">
        <v>16</v>
      </c>
    </row>
    <row r="77" spans="1:9" s="18" customFormat="1" ht="15.75" thickBot="1" x14ac:dyDescent="0.3">
      <c r="A77" s="338"/>
      <c r="B77" s="339"/>
      <c r="C77" s="339"/>
      <c r="D77" s="340"/>
      <c r="E77" s="135"/>
      <c r="F77" s="135"/>
      <c r="G77" s="135"/>
      <c r="H77" s="135"/>
      <c r="I77" s="136"/>
    </row>
    <row r="78" spans="1:9" s="18" customFormat="1" x14ac:dyDescent="0.25">
      <c r="A78" s="357" t="s">
        <v>346</v>
      </c>
      <c r="B78" s="336"/>
      <c r="C78" s="336"/>
      <c r="D78" s="337"/>
      <c r="E78" s="131" t="s">
        <v>340</v>
      </c>
      <c r="F78" s="113"/>
      <c r="G78" s="113"/>
      <c r="H78" s="174"/>
      <c r="I78" s="114"/>
    </row>
    <row r="79" spans="1:9" s="18" customFormat="1" x14ac:dyDescent="0.25">
      <c r="A79" s="335"/>
      <c r="B79" s="364"/>
      <c r="C79" s="364"/>
      <c r="D79" s="337"/>
      <c r="E79" s="112" t="s">
        <v>347</v>
      </c>
      <c r="F79" s="113">
        <v>25.27</v>
      </c>
      <c r="G79" s="113">
        <v>3.41</v>
      </c>
      <c r="H79" s="113">
        <f>F79*G79</f>
        <v>86.170699999999997</v>
      </c>
      <c r="I79" s="114" t="s">
        <v>16</v>
      </c>
    </row>
    <row r="80" spans="1:9" s="18" customFormat="1" x14ac:dyDescent="0.25">
      <c r="A80" s="335"/>
      <c r="B80" s="364"/>
      <c r="C80" s="364"/>
      <c r="D80" s="337"/>
      <c r="E80" s="112" t="s">
        <v>348</v>
      </c>
      <c r="F80" s="113"/>
      <c r="G80" s="113"/>
      <c r="H80" s="113">
        <v>11.7</v>
      </c>
      <c r="I80" s="114" t="s">
        <v>16</v>
      </c>
    </row>
    <row r="81" spans="1:11" s="18" customFormat="1" ht="15.75" thickBot="1" x14ac:dyDescent="0.3">
      <c r="A81" s="335"/>
      <c r="B81" s="336"/>
      <c r="C81" s="336"/>
      <c r="D81" s="337"/>
      <c r="E81" s="180" t="s">
        <v>325</v>
      </c>
      <c r="F81" s="113"/>
      <c r="G81" s="113"/>
      <c r="H81" s="113">
        <f>H80+H79</f>
        <v>97.870699999999999</v>
      </c>
      <c r="I81" s="114" t="s">
        <v>16</v>
      </c>
    </row>
    <row r="82" spans="1:11" s="18" customFormat="1" ht="15.75" thickBot="1" x14ac:dyDescent="0.3">
      <c r="A82" s="371" t="s">
        <v>349</v>
      </c>
      <c r="B82" s="372"/>
      <c r="C82" s="372"/>
      <c r="D82" s="373"/>
      <c r="E82" s="182" t="s">
        <v>340</v>
      </c>
      <c r="F82" s="183"/>
      <c r="G82" s="183"/>
      <c r="H82" s="183">
        <v>19.920000000000002</v>
      </c>
      <c r="I82" s="184" t="s">
        <v>42</v>
      </c>
    </row>
    <row r="83" spans="1:11" s="18" customFormat="1" x14ac:dyDescent="0.25">
      <c r="A83" s="357" t="s">
        <v>853</v>
      </c>
      <c r="B83" s="336"/>
      <c r="C83" s="336"/>
      <c r="D83" s="337"/>
      <c r="E83" s="131"/>
      <c r="F83" s="113">
        <v>19.48</v>
      </c>
      <c r="G83" s="113">
        <v>0.15</v>
      </c>
      <c r="H83" s="174">
        <f>G83*F83</f>
        <v>2.9220000000000002</v>
      </c>
      <c r="I83" s="114" t="s">
        <v>42</v>
      </c>
    </row>
    <row r="84" spans="1:11" s="18" customFormat="1" ht="15.75" thickBot="1" x14ac:dyDescent="0.3">
      <c r="A84" s="335"/>
      <c r="B84" s="336"/>
      <c r="C84" s="336"/>
      <c r="D84" s="337"/>
      <c r="E84" s="180" t="s">
        <v>325</v>
      </c>
      <c r="F84" s="113"/>
      <c r="G84" s="113"/>
      <c r="H84" s="113">
        <f>H83</f>
        <v>2.9220000000000002</v>
      </c>
      <c r="I84" s="114" t="s">
        <v>42</v>
      </c>
    </row>
    <row r="85" spans="1:11" s="19" customFormat="1" ht="15.75" thickBot="1" x14ac:dyDescent="0.3">
      <c r="A85" s="374" t="s">
        <v>350</v>
      </c>
      <c r="B85" s="375"/>
      <c r="C85" s="375"/>
      <c r="D85" s="376"/>
      <c r="E85" s="284"/>
      <c r="F85" s="218"/>
      <c r="G85" s="218"/>
      <c r="H85" s="218"/>
      <c r="I85" s="285"/>
    </row>
    <row r="86" spans="1:11" s="18" customFormat="1" x14ac:dyDescent="0.25">
      <c r="A86" s="357" t="s">
        <v>351</v>
      </c>
      <c r="B86" s="348"/>
      <c r="C86" s="348"/>
      <c r="D86" s="349"/>
      <c r="E86" s="112" t="s">
        <v>352</v>
      </c>
      <c r="F86" s="113"/>
      <c r="G86" s="113"/>
      <c r="H86" s="113"/>
      <c r="I86" s="114"/>
    </row>
    <row r="87" spans="1:11" s="18" customFormat="1" x14ac:dyDescent="0.25">
      <c r="A87" s="357"/>
      <c r="B87" s="348"/>
      <c r="C87" s="348"/>
      <c r="D87" s="349"/>
      <c r="E87" s="112"/>
      <c r="F87" s="159">
        <v>75.849999999999994</v>
      </c>
      <c r="G87" s="159">
        <v>2.65</v>
      </c>
      <c r="H87" s="159">
        <f>F87*G87</f>
        <v>201.00249999999997</v>
      </c>
      <c r="I87" s="235" t="s">
        <v>16</v>
      </c>
      <c r="K87" s="18">
        <f>5.4+3.9+5.4+5.4+3.9+5.4+2.25+1.8+1.8+5.4+22+2+3.9+3.9</f>
        <v>72.45</v>
      </c>
    </row>
    <row r="88" spans="1:11" s="18" customFormat="1" x14ac:dyDescent="0.25">
      <c r="A88" s="357"/>
      <c r="B88" s="348"/>
      <c r="C88" s="348"/>
      <c r="D88" s="349"/>
      <c r="E88" s="112"/>
      <c r="F88" s="159">
        <v>6.7</v>
      </c>
      <c r="G88" s="159">
        <v>2</v>
      </c>
      <c r="H88" s="159">
        <f>F88*G88</f>
        <v>13.4</v>
      </c>
      <c r="I88" s="235" t="s">
        <v>16</v>
      </c>
    </row>
    <row r="89" spans="1:11" s="18" customFormat="1" x14ac:dyDescent="0.25">
      <c r="A89" s="357"/>
      <c r="B89" s="348"/>
      <c r="C89" s="348"/>
      <c r="D89" s="349"/>
      <c r="E89" s="112"/>
      <c r="F89" s="159">
        <v>15.4</v>
      </c>
      <c r="G89" s="159">
        <v>3.1</v>
      </c>
      <c r="H89" s="159">
        <f>F89*G89</f>
        <v>47.74</v>
      </c>
      <c r="I89" s="235" t="s">
        <v>16</v>
      </c>
    </row>
    <row r="90" spans="1:11" s="18" customFormat="1" x14ac:dyDescent="0.25">
      <c r="A90" s="357"/>
      <c r="B90" s="348"/>
      <c r="C90" s="348"/>
      <c r="D90" s="349"/>
      <c r="E90" s="112"/>
      <c r="F90" s="159">
        <v>34.21</v>
      </c>
      <c r="G90" s="159">
        <v>1</v>
      </c>
      <c r="H90" s="159">
        <f>F90*G90</f>
        <v>34.21</v>
      </c>
      <c r="I90" s="235" t="s">
        <v>16</v>
      </c>
    </row>
    <row r="91" spans="1:11" s="18" customFormat="1" x14ac:dyDescent="0.25">
      <c r="A91" s="357"/>
      <c r="B91" s="348"/>
      <c r="C91" s="348"/>
      <c r="D91" s="349"/>
      <c r="E91" s="112"/>
      <c r="F91" s="113"/>
      <c r="G91" s="113"/>
      <c r="H91" s="113"/>
      <c r="I91" s="114"/>
    </row>
    <row r="92" spans="1:11" s="18" customFormat="1" x14ac:dyDescent="0.25">
      <c r="A92" s="357"/>
      <c r="B92" s="348"/>
      <c r="C92" s="348"/>
      <c r="D92" s="349"/>
      <c r="E92" s="112" t="s">
        <v>353</v>
      </c>
      <c r="F92" s="113"/>
      <c r="G92" s="113"/>
      <c r="H92" s="113"/>
      <c r="I92" s="114"/>
    </row>
    <row r="93" spans="1:11" s="18" customFormat="1" x14ac:dyDescent="0.25">
      <c r="A93" s="357"/>
      <c r="B93" s="348"/>
      <c r="C93" s="348"/>
      <c r="D93" s="349"/>
      <c r="E93" s="112"/>
      <c r="F93" s="159">
        <v>23.4</v>
      </c>
      <c r="G93" s="159">
        <v>5.7</v>
      </c>
      <c r="H93" s="159">
        <f>F93*G93</f>
        <v>133.38</v>
      </c>
      <c r="I93" s="235" t="s">
        <v>16</v>
      </c>
      <c r="J93" s="18">
        <f>22.34+4.14+4.14</f>
        <v>30.62</v>
      </c>
    </row>
    <row r="94" spans="1:11" s="18" customFormat="1" x14ac:dyDescent="0.25">
      <c r="A94" s="357"/>
      <c r="B94" s="348"/>
      <c r="C94" s="348"/>
      <c r="D94" s="349"/>
      <c r="E94" s="112"/>
      <c r="F94" s="159">
        <v>43.8</v>
      </c>
      <c r="G94" s="159">
        <v>5.7</v>
      </c>
      <c r="H94" s="159">
        <f>F94*G94</f>
        <v>249.66</v>
      </c>
      <c r="I94" s="235" t="s">
        <v>16</v>
      </c>
    </row>
    <row r="95" spans="1:11" s="18" customFormat="1" x14ac:dyDescent="0.25">
      <c r="A95" s="357"/>
      <c r="B95" s="348"/>
      <c r="C95" s="348"/>
      <c r="D95" s="349"/>
      <c r="E95" s="112"/>
      <c r="F95" s="159">
        <f>7.8+7.8+7.35</f>
        <v>22.95</v>
      </c>
      <c r="G95" s="159">
        <v>1.95</v>
      </c>
      <c r="H95" s="159">
        <f>F95*G95</f>
        <v>44.752499999999998</v>
      </c>
      <c r="I95" s="235" t="s">
        <v>16</v>
      </c>
    </row>
    <row r="96" spans="1:11" s="18" customFormat="1" x14ac:dyDescent="0.25">
      <c r="A96" s="357"/>
      <c r="B96" s="348"/>
      <c r="C96" s="348"/>
      <c r="D96" s="349"/>
      <c r="E96" s="112"/>
      <c r="F96" s="159">
        <f>4.14+4.14+22.35</f>
        <v>30.630000000000003</v>
      </c>
      <c r="G96" s="159">
        <f>4.35-0.4</f>
        <v>3.9499999999999997</v>
      </c>
      <c r="H96" s="159">
        <f>G96*F96</f>
        <v>120.9885</v>
      </c>
      <c r="I96" s="235" t="s">
        <v>16</v>
      </c>
    </row>
    <row r="97" spans="1:16" s="18" customFormat="1" x14ac:dyDescent="0.25">
      <c r="A97" s="357"/>
      <c r="B97" s="348"/>
      <c r="C97" s="348"/>
      <c r="D97" s="349"/>
      <c r="E97" s="112"/>
      <c r="F97" s="113">
        <v>4.05</v>
      </c>
      <c r="G97" s="113">
        <v>2.65</v>
      </c>
      <c r="H97" s="159">
        <f>G97*F97</f>
        <v>10.7325</v>
      </c>
      <c r="I97" s="235" t="s">
        <v>16</v>
      </c>
    </row>
    <row r="98" spans="1:16" s="18" customFormat="1" x14ac:dyDescent="0.25">
      <c r="A98" s="357"/>
      <c r="B98" s="348"/>
      <c r="C98" s="348"/>
      <c r="D98" s="349"/>
      <c r="E98" s="112"/>
      <c r="F98" s="113">
        <f>8.3+8.3</f>
        <v>16.600000000000001</v>
      </c>
      <c r="G98" s="113">
        <f>3.35+2.35</f>
        <v>5.7</v>
      </c>
      <c r="H98" s="159">
        <f>G98*F98</f>
        <v>94.62</v>
      </c>
      <c r="I98" s="235" t="s">
        <v>16</v>
      </c>
    </row>
    <row r="99" spans="1:16" s="18" customFormat="1" x14ac:dyDescent="0.25">
      <c r="A99" s="357"/>
      <c r="B99" s="348"/>
      <c r="C99" s="348"/>
      <c r="D99" s="349"/>
      <c r="E99" s="112"/>
      <c r="F99" s="113"/>
      <c r="G99" s="113"/>
      <c r="H99" s="113"/>
      <c r="I99" s="114"/>
    </row>
    <row r="100" spans="1:16" s="18" customFormat="1" x14ac:dyDescent="0.25">
      <c r="A100" s="357"/>
      <c r="B100" s="348"/>
      <c r="C100" s="348"/>
      <c r="D100" s="349"/>
      <c r="E100" s="112" t="s">
        <v>354</v>
      </c>
      <c r="F100" s="113"/>
      <c r="G100" s="113"/>
      <c r="H100" s="113">
        <f>H87+H88+H89+H90+H93+H94+H96+H95+H97+H98</f>
        <v>950.48599999999988</v>
      </c>
      <c r="I100" s="114" t="s">
        <v>16</v>
      </c>
    </row>
    <row r="101" spans="1:16" s="18" customFormat="1" x14ac:dyDescent="0.25">
      <c r="A101" s="357"/>
      <c r="B101" s="348"/>
      <c r="C101" s="348"/>
      <c r="D101" s="349"/>
      <c r="E101" s="112" t="s">
        <v>355</v>
      </c>
      <c r="F101" s="113"/>
      <c r="G101" s="113"/>
      <c r="H101" s="113">
        <f>27.2+((2*2.1)*3)</f>
        <v>39.799999999999997</v>
      </c>
      <c r="I101" s="114" t="s">
        <v>16</v>
      </c>
      <c r="K101" s="187" t="s">
        <v>356</v>
      </c>
      <c r="L101" s="187"/>
      <c r="M101" s="187"/>
      <c r="N101" s="187"/>
      <c r="O101" s="187"/>
      <c r="P101" s="187"/>
    </row>
    <row r="102" spans="1:16" s="18" customFormat="1" x14ac:dyDescent="0.25">
      <c r="A102" s="377"/>
      <c r="B102" s="378"/>
      <c r="C102" s="378"/>
      <c r="D102" s="379"/>
      <c r="E102" s="185" t="s">
        <v>357</v>
      </c>
      <c r="F102" s="150"/>
      <c r="G102" s="150"/>
      <c r="H102" s="150">
        <f>H100-H101</f>
        <v>910.68599999999992</v>
      </c>
      <c r="I102" s="186" t="s">
        <v>16</v>
      </c>
      <c r="K102" s="187" t="s">
        <v>358</v>
      </c>
      <c r="L102" s="187">
        <v>3.4</v>
      </c>
      <c r="M102" s="187">
        <v>0.5</v>
      </c>
      <c r="N102" s="187">
        <v>3</v>
      </c>
      <c r="O102" s="187">
        <f>L102*M102*N102</f>
        <v>5.0999999999999996</v>
      </c>
      <c r="P102" s="187"/>
    </row>
    <row r="103" spans="1:16" s="18" customFormat="1" x14ac:dyDescent="0.25">
      <c r="A103" s="356" t="s">
        <v>359</v>
      </c>
      <c r="B103" s="354"/>
      <c r="C103" s="354"/>
      <c r="D103" s="355"/>
      <c r="E103" s="121" t="s">
        <v>360</v>
      </c>
      <c r="F103" s="122"/>
      <c r="G103" s="122"/>
      <c r="H103" s="122"/>
      <c r="I103" s="123"/>
      <c r="K103" s="187" t="s">
        <v>361</v>
      </c>
      <c r="L103" s="187">
        <v>0.6</v>
      </c>
      <c r="M103" s="187">
        <v>0.5</v>
      </c>
      <c r="N103" s="187">
        <v>1</v>
      </c>
      <c r="O103" s="187">
        <f t="shared" ref="O103:O105" si="2">L103*M103*N103</f>
        <v>0.3</v>
      </c>
      <c r="P103" s="187"/>
    </row>
    <row r="104" spans="1:16" s="18" customFormat="1" x14ac:dyDescent="0.25">
      <c r="A104" s="357"/>
      <c r="B104" s="348"/>
      <c r="C104" s="348"/>
      <c r="D104" s="349"/>
      <c r="E104" s="112" t="s">
        <v>362</v>
      </c>
      <c r="F104" s="113"/>
      <c r="G104" s="113"/>
      <c r="H104" s="113">
        <v>37.799999999999997</v>
      </c>
      <c r="I104" s="114" t="s">
        <v>38</v>
      </c>
      <c r="K104" s="187" t="s">
        <v>363</v>
      </c>
      <c r="L104" s="187">
        <v>1.3</v>
      </c>
      <c r="M104" s="187">
        <v>0.5</v>
      </c>
      <c r="N104" s="187">
        <v>2</v>
      </c>
      <c r="O104" s="187">
        <f t="shared" si="2"/>
        <v>1.3</v>
      </c>
      <c r="P104" s="187"/>
    </row>
    <row r="105" spans="1:16" s="18" customFormat="1" x14ac:dyDescent="0.25">
      <c r="A105" s="357"/>
      <c r="B105" s="348"/>
      <c r="C105" s="348"/>
      <c r="D105" s="349"/>
      <c r="E105" s="112" t="s">
        <v>364</v>
      </c>
      <c r="F105" s="113">
        <v>0.14000000000000001</v>
      </c>
      <c r="G105" s="113">
        <v>0.2</v>
      </c>
      <c r="H105" s="113">
        <f>F105*G105</f>
        <v>2.8000000000000004E-2</v>
      </c>
      <c r="I105" s="114" t="s">
        <v>16</v>
      </c>
      <c r="K105" s="187" t="s">
        <v>365</v>
      </c>
      <c r="L105" s="187">
        <v>1.6</v>
      </c>
      <c r="M105" s="187">
        <v>0.5</v>
      </c>
      <c r="N105" s="187">
        <v>2</v>
      </c>
      <c r="O105" s="187">
        <f t="shared" si="2"/>
        <v>1.6</v>
      </c>
      <c r="P105" s="187"/>
    </row>
    <row r="106" spans="1:16" s="18" customFormat="1" x14ac:dyDescent="0.25">
      <c r="A106" s="357"/>
      <c r="B106" s="348"/>
      <c r="C106" s="348"/>
      <c r="D106" s="349"/>
      <c r="E106" s="112" t="s">
        <v>366</v>
      </c>
      <c r="F106" s="113"/>
      <c r="G106" s="113"/>
      <c r="H106" s="113">
        <f>H104*H105</f>
        <v>1.0584</v>
      </c>
      <c r="I106" s="114" t="s">
        <v>42</v>
      </c>
      <c r="K106" s="187"/>
      <c r="L106" s="187"/>
      <c r="M106" s="187"/>
      <c r="N106" s="187"/>
      <c r="O106" s="187"/>
      <c r="P106" s="187"/>
    </row>
    <row r="107" spans="1:16" s="18" customFormat="1" x14ac:dyDescent="0.25">
      <c r="A107" s="357"/>
      <c r="B107" s="348"/>
      <c r="C107" s="348"/>
      <c r="D107" s="349"/>
      <c r="E107" s="112"/>
      <c r="F107" s="113"/>
      <c r="G107" s="113"/>
      <c r="H107" s="113"/>
      <c r="I107" s="114"/>
      <c r="K107" s="187" t="s">
        <v>367</v>
      </c>
      <c r="L107" s="187">
        <v>0.9</v>
      </c>
      <c r="M107" s="187">
        <v>2.1</v>
      </c>
      <c r="N107" s="187">
        <v>3</v>
      </c>
      <c r="O107" s="187">
        <f>L107*M107*N107</f>
        <v>5.67</v>
      </c>
      <c r="P107" s="187"/>
    </row>
    <row r="108" spans="1:16" s="18" customFormat="1" x14ac:dyDescent="0.25">
      <c r="A108" s="357"/>
      <c r="B108" s="348"/>
      <c r="C108" s="348"/>
      <c r="D108" s="349"/>
      <c r="E108" s="115"/>
      <c r="F108" s="116"/>
      <c r="G108" s="116"/>
      <c r="H108" s="116"/>
      <c r="I108" s="117"/>
      <c r="K108" s="187" t="s">
        <v>368</v>
      </c>
      <c r="L108" s="187">
        <v>1.9</v>
      </c>
      <c r="M108" s="187">
        <v>2.1</v>
      </c>
      <c r="N108" s="187">
        <v>2</v>
      </c>
      <c r="O108" s="187">
        <f>L108*M108*N108</f>
        <v>7.9799999999999995</v>
      </c>
      <c r="P108" s="187"/>
    </row>
    <row r="109" spans="1:16" s="18" customFormat="1" x14ac:dyDescent="0.25">
      <c r="A109" s="365" t="s">
        <v>369</v>
      </c>
      <c r="B109" s="365"/>
      <c r="C109" s="365"/>
      <c r="D109" s="365"/>
      <c r="E109" s="122">
        <v>1.25</v>
      </c>
      <c r="F109" s="122">
        <v>7</v>
      </c>
      <c r="G109" s="122">
        <v>2</v>
      </c>
      <c r="H109" s="156">
        <f>E109*F109*G109</f>
        <v>17.5</v>
      </c>
      <c r="I109" s="123" t="s">
        <v>16</v>
      </c>
      <c r="K109" s="187"/>
      <c r="L109" s="187"/>
      <c r="M109" s="187"/>
      <c r="N109" s="187"/>
      <c r="O109" s="187"/>
      <c r="P109" s="187"/>
    </row>
    <row r="110" spans="1:16" s="18" customFormat="1" x14ac:dyDescent="0.25">
      <c r="A110" s="188"/>
      <c r="B110" s="189"/>
      <c r="C110" s="189"/>
      <c r="D110" s="53"/>
      <c r="E110" s="112">
        <v>1.5</v>
      </c>
      <c r="F110" s="113">
        <v>3</v>
      </c>
      <c r="G110" s="113">
        <v>2</v>
      </c>
      <c r="H110" s="113">
        <f>E110*F110*G110</f>
        <v>9</v>
      </c>
      <c r="I110" s="114" t="s">
        <v>16</v>
      </c>
      <c r="K110" s="187" t="s">
        <v>370</v>
      </c>
      <c r="L110" s="187">
        <v>0.8</v>
      </c>
      <c r="M110" s="187">
        <v>2.1</v>
      </c>
      <c r="N110" s="187">
        <v>1</v>
      </c>
      <c r="O110" s="187">
        <f>L110*M110*N110</f>
        <v>1.6800000000000002</v>
      </c>
      <c r="P110" s="187"/>
    </row>
    <row r="111" spans="1:16" s="18" customFormat="1" x14ac:dyDescent="0.25">
      <c r="A111" s="188"/>
      <c r="B111" s="189"/>
      <c r="C111" s="189"/>
      <c r="D111" s="53"/>
      <c r="E111" s="112">
        <v>1.7</v>
      </c>
      <c r="F111" s="113">
        <v>1</v>
      </c>
      <c r="G111" s="113">
        <v>2</v>
      </c>
      <c r="H111" s="113">
        <f t="shared" ref="H111:H112" si="3">E111*F111*G111</f>
        <v>3.4</v>
      </c>
      <c r="I111" s="114" t="s">
        <v>16</v>
      </c>
      <c r="K111" s="187" t="s">
        <v>371</v>
      </c>
      <c r="L111" s="187">
        <v>0.8</v>
      </c>
      <c r="M111" s="187">
        <v>2.1</v>
      </c>
      <c r="N111" s="187">
        <v>1</v>
      </c>
      <c r="O111" s="187">
        <f>L111*M111*N111</f>
        <v>1.6800000000000002</v>
      </c>
      <c r="P111" s="187"/>
    </row>
    <row r="112" spans="1:16" s="18" customFormat="1" x14ac:dyDescent="0.25">
      <c r="A112" s="188"/>
      <c r="B112" s="189"/>
      <c r="C112" s="189"/>
      <c r="D112" s="53"/>
      <c r="E112" s="112">
        <v>3.3</v>
      </c>
      <c r="F112" s="113">
        <v>1</v>
      </c>
      <c r="G112" s="113">
        <v>2</v>
      </c>
      <c r="H112" s="113">
        <f t="shared" si="3"/>
        <v>6.6</v>
      </c>
      <c r="I112" s="114" t="s">
        <v>16</v>
      </c>
      <c r="K112" s="187" t="s">
        <v>372</v>
      </c>
      <c r="L112" s="187">
        <v>0.9</v>
      </c>
      <c r="M112" s="187">
        <v>2.1</v>
      </c>
      <c r="N112" s="187">
        <v>1</v>
      </c>
      <c r="O112" s="187">
        <f>L112*M112*N112</f>
        <v>1.8900000000000001</v>
      </c>
      <c r="P112" s="187"/>
    </row>
    <row r="113" spans="1:16" s="18" customFormat="1" x14ac:dyDescent="0.25">
      <c r="A113" s="188"/>
      <c r="B113" s="189"/>
      <c r="C113" s="189"/>
      <c r="D113" s="53"/>
      <c r="E113" s="112" t="s">
        <v>401</v>
      </c>
      <c r="F113" s="113"/>
      <c r="G113" s="113"/>
      <c r="H113" s="113">
        <f>SUM(H109:H112)</f>
        <v>36.5</v>
      </c>
      <c r="I113" s="114" t="s">
        <v>16</v>
      </c>
      <c r="K113" s="187"/>
      <c r="L113" s="187"/>
      <c r="M113" s="187"/>
      <c r="N113" s="187"/>
      <c r="O113" s="187">
        <f>SUM(O102:O112)</f>
        <v>27.2</v>
      </c>
      <c r="P113" s="187"/>
    </row>
    <row r="114" spans="1:16" s="18" customFormat="1" x14ac:dyDescent="0.25">
      <c r="A114" s="188"/>
      <c r="B114" s="189"/>
      <c r="C114" s="189"/>
      <c r="D114" s="53"/>
      <c r="E114" s="112" t="s">
        <v>402</v>
      </c>
      <c r="F114" s="113">
        <f>0.6*0.9</f>
        <v>0.54</v>
      </c>
      <c r="G114" s="113">
        <v>9</v>
      </c>
      <c r="H114" s="113">
        <f>G114*F114</f>
        <v>4.8600000000000003</v>
      </c>
      <c r="I114" s="114" t="s">
        <v>16</v>
      </c>
      <c r="K114" s="187"/>
      <c r="L114" s="187"/>
      <c r="M114" s="187"/>
      <c r="N114" s="187"/>
      <c r="O114" s="187"/>
      <c r="P114" s="187"/>
    </row>
    <row r="115" spans="1:16" s="18" customFormat="1" x14ac:dyDescent="0.25">
      <c r="A115" s="380"/>
      <c r="B115" s="381"/>
      <c r="C115" s="381"/>
      <c r="D115" s="382"/>
      <c r="E115" s="185" t="s">
        <v>403</v>
      </c>
      <c r="F115" s="150"/>
      <c r="G115" s="150"/>
      <c r="H115" s="150">
        <f>H113-H114</f>
        <v>31.64</v>
      </c>
      <c r="I115" s="175" t="s">
        <v>16</v>
      </c>
      <c r="K115" s="187"/>
      <c r="L115" s="187"/>
      <c r="M115" s="187"/>
      <c r="N115" s="187"/>
      <c r="O115" s="187"/>
      <c r="P115" s="187"/>
    </row>
    <row r="116" spans="1:16" s="19" customFormat="1" x14ac:dyDescent="0.25">
      <c r="A116" s="344" t="s">
        <v>375</v>
      </c>
      <c r="B116" s="345"/>
      <c r="C116" s="345"/>
      <c r="D116" s="346"/>
      <c r="E116" s="125"/>
      <c r="F116" s="125"/>
      <c r="G116" s="125"/>
      <c r="H116" s="125"/>
      <c r="I116" s="126"/>
    </row>
    <row r="117" spans="1:16" s="18" customFormat="1" ht="15.75" thickBot="1" x14ac:dyDescent="0.3">
      <c r="A117" s="368" t="s">
        <v>376</v>
      </c>
      <c r="B117" s="369"/>
      <c r="C117" s="369"/>
      <c r="D117" s="370"/>
      <c r="E117" s="122" t="s">
        <v>404</v>
      </c>
      <c r="F117" s="122"/>
      <c r="G117" s="122"/>
      <c r="H117" s="122">
        <f>5.4*22</f>
        <v>118.80000000000001</v>
      </c>
      <c r="I117" s="123" t="s">
        <v>16</v>
      </c>
    </row>
    <row r="118" spans="1:16" s="18" customFormat="1" x14ac:dyDescent="0.25">
      <c r="A118" s="366" t="s">
        <v>407</v>
      </c>
      <c r="B118" s="367"/>
      <c r="C118" s="367"/>
      <c r="D118" s="367"/>
      <c r="E118" s="190" t="s">
        <v>408</v>
      </c>
      <c r="F118" s="129"/>
      <c r="G118" s="129"/>
      <c r="H118" s="129">
        <v>74</v>
      </c>
      <c r="I118" s="130" t="s">
        <v>16</v>
      </c>
    </row>
    <row r="119" spans="1:16" s="18" customFormat="1" x14ac:dyDescent="0.25">
      <c r="A119" s="191"/>
      <c r="B119" s="192"/>
      <c r="C119" s="192"/>
      <c r="D119" s="192"/>
      <c r="E119" s="112" t="s">
        <v>411</v>
      </c>
      <c r="F119" s="113"/>
      <c r="G119" s="113"/>
      <c r="H119" s="113">
        <v>163.51</v>
      </c>
      <c r="I119" s="114" t="s">
        <v>16</v>
      </c>
    </row>
    <row r="120" spans="1:16" s="18" customFormat="1" ht="15.75" thickBot="1" x14ac:dyDescent="0.3">
      <c r="A120" s="193"/>
      <c r="B120" s="194"/>
      <c r="C120" s="194"/>
      <c r="D120" s="194"/>
      <c r="E120" s="195" t="s">
        <v>325</v>
      </c>
      <c r="F120" s="135"/>
      <c r="G120" s="135"/>
      <c r="H120" s="135">
        <f>H119+H118</f>
        <v>237.51</v>
      </c>
      <c r="I120" s="136" t="s">
        <v>16</v>
      </c>
    </row>
    <row r="121" spans="1:16" s="18" customFormat="1" x14ac:dyDescent="0.25">
      <c r="A121" s="191" t="s">
        <v>413</v>
      </c>
      <c r="B121" s="192"/>
      <c r="C121" s="192"/>
      <c r="D121" s="196"/>
      <c r="E121" s="113" t="s">
        <v>414</v>
      </c>
      <c r="F121" s="113"/>
      <c r="G121" s="113"/>
      <c r="H121" s="113">
        <f>H118</f>
        <v>74</v>
      </c>
      <c r="I121" s="114" t="s">
        <v>38</v>
      </c>
    </row>
    <row r="122" spans="1:16" s="18" customFormat="1" x14ac:dyDescent="0.25">
      <c r="A122" s="191"/>
      <c r="B122" s="192"/>
      <c r="C122" s="192"/>
      <c r="D122" s="196"/>
      <c r="E122" s="113" t="s">
        <v>415</v>
      </c>
      <c r="F122" s="113"/>
      <c r="G122" s="113"/>
      <c r="H122" s="113">
        <f>H119</f>
        <v>163.51</v>
      </c>
      <c r="I122" s="114" t="s">
        <v>38</v>
      </c>
    </row>
    <row r="123" spans="1:16" s="18" customFormat="1" x14ac:dyDescent="0.25">
      <c r="A123" s="191"/>
      <c r="B123" s="192"/>
      <c r="C123" s="192"/>
      <c r="D123" s="196"/>
      <c r="E123" s="113" t="s">
        <v>416</v>
      </c>
      <c r="F123" s="113"/>
      <c r="G123" s="113"/>
      <c r="H123" s="113">
        <f>H117</f>
        <v>118.80000000000001</v>
      </c>
      <c r="I123" s="114" t="s">
        <v>38</v>
      </c>
    </row>
    <row r="124" spans="1:16" s="18" customFormat="1" x14ac:dyDescent="0.25">
      <c r="A124" s="191"/>
      <c r="B124" s="192"/>
      <c r="C124" s="192"/>
      <c r="D124" s="196"/>
      <c r="E124" s="113" t="s">
        <v>325</v>
      </c>
      <c r="F124" s="113"/>
      <c r="G124" s="113"/>
      <c r="H124" s="113">
        <f>SUM(H121:H123)</f>
        <v>356.31</v>
      </c>
      <c r="I124" s="114" t="s">
        <v>38</v>
      </c>
    </row>
    <row r="125" spans="1:16" s="18" customFormat="1" x14ac:dyDescent="0.25">
      <c r="A125" s="197" t="s">
        <v>418</v>
      </c>
      <c r="B125" s="198"/>
      <c r="C125" s="198"/>
      <c r="D125" s="199"/>
      <c r="E125" s="122" t="s">
        <v>353</v>
      </c>
      <c r="F125" s="122"/>
      <c r="G125" s="122"/>
      <c r="H125" s="122">
        <v>47.2</v>
      </c>
      <c r="I125" s="123" t="s">
        <v>38</v>
      </c>
    </row>
    <row r="126" spans="1:16" s="18" customFormat="1" x14ac:dyDescent="0.25">
      <c r="A126" s="191"/>
      <c r="B126" s="192"/>
      <c r="C126" s="192"/>
      <c r="D126" s="196"/>
      <c r="E126" s="113" t="s">
        <v>348</v>
      </c>
      <c r="F126" s="113"/>
      <c r="G126" s="113"/>
      <c r="H126" s="113">
        <v>5.0999999999999996</v>
      </c>
      <c r="I126" s="114" t="s">
        <v>38</v>
      </c>
    </row>
    <row r="127" spans="1:16" s="18" customFormat="1" x14ac:dyDescent="0.25">
      <c r="A127" s="191"/>
      <c r="B127" s="192"/>
      <c r="C127" s="192"/>
      <c r="D127" s="196"/>
      <c r="E127" s="113" t="s">
        <v>419</v>
      </c>
      <c r="F127" s="113"/>
      <c r="G127" s="113"/>
      <c r="H127" s="113">
        <v>19.55</v>
      </c>
      <c r="I127" s="114" t="s">
        <v>38</v>
      </c>
    </row>
    <row r="128" spans="1:16" s="18" customFormat="1" x14ac:dyDescent="0.25">
      <c r="A128" s="191"/>
      <c r="B128" s="192"/>
      <c r="C128" s="192"/>
      <c r="D128" s="196"/>
      <c r="E128" s="113" t="s">
        <v>340</v>
      </c>
      <c r="F128" s="113"/>
      <c r="G128" s="113"/>
      <c r="H128" s="113">
        <v>27.5</v>
      </c>
      <c r="I128" s="114" t="s">
        <v>38</v>
      </c>
    </row>
    <row r="129" spans="1:9" s="18" customFormat="1" x14ac:dyDescent="0.25">
      <c r="A129" s="191"/>
      <c r="B129" s="192"/>
      <c r="C129" s="192"/>
      <c r="D129" s="196"/>
      <c r="E129" s="113" t="s">
        <v>420</v>
      </c>
      <c r="F129" s="113"/>
      <c r="G129" s="113"/>
      <c r="H129" s="113">
        <f>21.67+5.83</f>
        <v>27.5</v>
      </c>
      <c r="I129" s="114" t="s">
        <v>38</v>
      </c>
    </row>
    <row r="130" spans="1:9" s="18" customFormat="1" x14ac:dyDescent="0.25">
      <c r="A130" s="191"/>
      <c r="B130" s="192"/>
      <c r="C130" s="192"/>
      <c r="D130" s="196"/>
      <c r="E130" s="113" t="s">
        <v>325</v>
      </c>
      <c r="F130" s="113"/>
      <c r="G130" s="113"/>
      <c r="H130" s="113">
        <f>SUM(H125:H129)</f>
        <v>126.85000000000001</v>
      </c>
      <c r="I130" s="114" t="s">
        <v>38</v>
      </c>
    </row>
    <row r="131" spans="1:9" s="18" customFormat="1" x14ac:dyDescent="0.25">
      <c r="A131" s="197" t="s">
        <v>421</v>
      </c>
      <c r="B131" s="198"/>
      <c r="C131" s="198"/>
      <c r="D131" s="199"/>
      <c r="E131" s="122" t="s">
        <v>348</v>
      </c>
      <c r="F131" s="122"/>
      <c r="G131" s="122"/>
      <c r="H131" s="122">
        <f>5.4+5.4+2.15+2.15</f>
        <v>15.100000000000001</v>
      </c>
      <c r="I131" s="123" t="s">
        <v>38</v>
      </c>
    </row>
    <row r="132" spans="1:9" s="18" customFormat="1" x14ac:dyDescent="0.25">
      <c r="A132" s="191"/>
      <c r="B132" s="192"/>
      <c r="C132" s="192"/>
      <c r="D132" s="196"/>
      <c r="E132" s="113" t="s">
        <v>419</v>
      </c>
      <c r="F132" s="113"/>
      <c r="G132" s="113"/>
      <c r="H132" s="113">
        <f>19.75+5.25+19.75</f>
        <v>44.75</v>
      </c>
      <c r="I132" s="114" t="s">
        <v>38</v>
      </c>
    </row>
    <row r="133" spans="1:9" s="18" customFormat="1" x14ac:dyDescent="0.25">
      <c r="A133" s="191"/>
      <c r="B133" s="192"/>
      <c r="C133" s="192"/>
      <c r="D133" s="196"/>
      <c r="E133" s="113" t="s">
        <v>340</v>
      </c>
      <c r="F133" s="113"/>
      <c r="G133" s="113"/>
      <c r="H133" s="113">
        <f>4.14+4.14+22.35</f>
        <v>30.630000000000003</v>
      </c>
      <c r="I133" s="114" t="s">
        <v>38</v>
      </c>
    </row>
    <row r="134" spans="1:9" s="18" customFormat="1" x14ac:dyDescent="0.25">
      <c r="A134" s="191"/>
      <c r="B134" s="192"/>
      <c r="C134" s="192"/>
      <c r="D134" s="196"/>
      <c r="E134" s="113" t="s">
        <v>325</v>
      </c>
      <c r="F134" s="113"/>
      <c r="G134" s="113"/>
      <c r="H134" s="113">
        <f>SUM(H131:H133)</f>
        <v>90.48</v>
      </c>
      <c r="I134" s="114" t="s">
        <v>38</v>
      </c>
    </row>
    <row r="135" spans="1:9" s="19" customFormat="1" x14ac:dyDescent="0.25">
      <c r="A135" s="200" t="s">
        <v>377</v>
      </c>
      <c r="B135" s="201"/>
      <c r="C135" s="201"/>
      <c r="D135" s="202"/>
      <c r="E135" s="125"/>
      <c r="F135" s="125"/>
      <c r="G135" s="125"/>
      <c r="H135" s="125"/>
      <c r="I135" s="126"/>
    </row>
    <row r="136" spans="1:9" s="18" customFormat="1" x14ac:dyDescent="0.25">
      <c r="A136" s="197" t="s">
        <v>378</v>
      </c>
      <c r="B136" s="198"/>
      <c r="C136" s="198"/>
      <c r="D136" s="199"/>
      <c r="E136" s="122" t="s">
        <v>422</v>
      </c>
      <c r="F136" s="122"/>
      <c r="G136" s="122"/>
      <c r="H136" s="122">
        <v>110.65</v>
      </c>
      <c r="I136" s="123" t="s">
        <v>16</v>
      </c>
    </row>
    <row r="137" spans="1:9" s="18" customFormat="1" x14ac:dyDescent="0.25">
      <c r="A137" s="191"/>
      <c r="B137" s="192"/>
      <c r="C137" s="192"/>
      <c r="D137" s="196"/>
      <c r="E137" s="113" t="s">
        <v>423</v>
      </c>
      <c r="F137" s="113">
        <f>H102</f>
        <v>910.68599999999992</v>
      </c>
      <c r="G137" s="113">
        <v>2</v>
      </c>
      <c r="H137" s="113">
        <f>F137*G137</f>
        <v>1821.3719999999998</v>
      </c>
      <c r="I137" s="114" t="s">
        <v>16</v>
      </c>
    </row>
    <row r="138" spans="1:9" s="18" customFormat="1" ht="15.75" thickBot="1" x14ac:dyDescent="0.3">
      <c r="A138" s="191"/>
      <c r="B138" s="192"/>
      <c r="C138" s="192"/>
      <c r="D138" s="196"/>
      <c r="E138" s="174" t="s">
        <v>325</v>
      </c>
      <c r="F138" s="174"/>
      <c r="G138" s="174"/>
      <c r="H138" s="174">
        <f>H137+H136</f>
        <v>1932.0219999999999</v>
      </c>
      <c r="I138" s="175" t="s">
        <v>16</v>
      </c>
    </row>
    <row r="139" spans="1:9" s="18" customFormat="1" x14ac:dyDescent="0.25">
      <c r="A139" s="203" t="s">
        <v>454</v>
      </c>
      <c r="B139" s="204"/>
      <c r="C139" s="204"/>
      <c r="D139" s="204"/>
      <c r="E139" s="205" t="s">
        <v>455</v>
      </c>
      <c r="F139" s="181"/>
      <c r="G139" s="181"/>
      <c r="H139" s="181"/>
      <c r="I139" s="206"/>
    </row>
    <row r="140" spans="1:9" s="18" customFormat="1" ht="15.75" thickBot="1" x14ac:dyDescent="0.3">
      <c r="A140" s="191"/>
      <c r="B140" s="192"/>
      <c r="C140" s="192"/>
      <c r="D140" s="192"/>
      <c r="E140" s="207"/>
      <c r="F140" s="208">
        <f>H163</f>
        <v>323.32999999999993</v>
      </c>
      <c r="G140" s="208">
        <f>H186</f>
        <v>298.56199999999995</v>
      </c>
      <c r="H140" s="209">
        <f>F140+G140</f>
        <v>621.89199999999983</v>
      </c>
      <c r="I140" s="210" t="s">
        <v>16</v>
      </c>
    </row>
    <row r="141" spans="1:9" s="18" customFormat="1" x14ac:dyDescent="0.25">
      <c r="A141" s="203" t="s">
        <v>838</v>
      </c>
      <c r="B141" s="204"/>
      <c r="C141" s="204"/>
      <c r="D141" s="211"/>
      <c r="E141" s="205" t="s">
        <v>457</v>
      </c>
      <c r="F141" s="181"/>
      <c r="G141" s="181"/>
      <c r="H141" s="181"/>
      <c r="I141" s="206"/>
    </row>
    <row r="142" spans="1:9" s="18" customFormat="1" ht="15.75" thickBot="1" x14ac:dyDescent="0.3">
      <c r="A142" s="212"/>
      <c r="B142" s="213"/>
      <c r="C142" s="213"/>
      <c r="D142" s="214"/>
      <c r="E142" s="207"/>
      <c r="F142" s="208">
        <f>H138</f>
        <v>1932.0219999999999</v>
      </c>
      <c r="G142" s="208">
        <f>H140</f>
        <v>621.89199999999983</v>
      </c>
      <c r="H142" s="209">
        <f>F142-G142</f>
        <v>1310.1300000000001</v>
      </c>
      <c r="I142" s="210" t="s">
        <v>16</v>
      </c>
    </row>
    <row r="143" spans="1:9" s="18" customFormat="1" x14ac:dyDescent="0.25">
      <c r="A143" s="203" t="s">
        <v>453</v>
      </c>
      <c r="B143" s="204"/>
      <c r="C143" s="204"/>
      <c r="D143" s="211"/>
      <c r="E143" s="129" t="s">
        <v>373</v>
      </c>
      <c r="F143" s="129">
        <v>31.08</v>
      </c>
      <c r="G143" s="129">
        <v>3</v>
      </c>
      <c r="H143" s="129">
        <f>F143*G143</f>
        <v>93.24</v>
      </c>
      <c r="I143" s="130" t="s">
        <v>16</v>
      </c>
    </row>
    <row r="144" spans="1:9" s="18" customFormat="1" x14ac:dyDescent="0.25">
      <c r="A144" s="191"/>
      <c r="B144" s="192"/>
      <c r="C144" s="192"/>
      <c r="D144" s="196"/>
      <c r="E144" s="113"/>
      <c r="F144" s="113">
        <v>6.7</v>
      </c>
      <c r="G144" s="113">
        <v>2</v>
      </c>
      <c r="H144" s="113">
        <f t="shared" ref="H144:H148" si="4">F144*G144</f>
        <v>13.4</v>
      </c>
      <c r="I144" s="114" t="s">
        <v>16</v>
      </c>
    </row>
    <row r="145" spans="1:15" s="18" customFormat="1" x14ac:dyDescent="0.25">
      <c r="A145" s="191"/>
      <c r="B145" s="192"/>
      <c r="C145" s="192"/>
      <c r="D145" s="196"/>
      <c r="E145" s="113" t="s">
        <v>424</v>
      </c>
      <c r="F145" s="113">
        <v>9.6</v>
      </c>
      <c r="G145" s="113">
        <v>3</v>
      </c>
      <c r="H145" s="113">
        <f t="shared" si="4"/>
        <v>28.799999999999997</v>
      </c>
      <c r="I145" s="114" t="s">
        <v>16</v>
      </c>
    </row>
    <row r="146" spans="1:15" s="18" customFormat="1" x14ac:dyDescent="0.25">
      <c r="A146" s="191"/>
      <c r="B146" s="192"/>
      <c r="C146" s="192"/>
      <c r="D146" s="196"/>
      <c r="E146" s="113" t="s">
        <v>425</v>
      </c>
      <c r="F146" s="113">
        <v>33.32</v>
      </c>
      <c r="G146" s="113">
        <v>3</v>
      </c>
      <c r="H146" s="113">
        <f t="shared" si="4"/>
        <v>99.960000000000008</v>
      </c>
      <c r="I146" s="114" t="s">
        <v>16</v>
      </c>
    </row>
    <row r="147" spans="1:15" s="18" customFormat="1" x14ac:dyDescent="0.25">
      <c r="A147" s="191"/>
      <c r="B147" s="192"/>
      <c r="C147" s="192"/>
      <c r="D147" s="196"/>
      <c r="E147" s="113"/>
      <c r="F147" s="113">
        <v>6.7</v>
      </c>
      <c r="G147" s="113">
        <v>2</v>
      </c>
      <c r="H147" s="113">
        <f t="shared" si="4"/>
        <v>13.4</v>
      </c>
      <c r="I147" s="114" t="s">
        <v>16</v>
      </c>
    </row>
    <row r="148" spans="1:15" s="18" customFormat="1" x14ac:dyDescent="0.25">
      <c r="A148" s="191"/>
      <c r="B148" s="192"/>
      <c r="C148" s="192"/>
      <c r="D148" s="196"/>
      <c r="E148" s="113" t="s">
        <v>426</v>
      </c>
      <c r="F148" s="113">
        <v>12</v>
      </c>
      <c r="G148" s="113">
        <v>3</v>
      </c>
      <c r="H148" s="113">
        <f t="shared" si="4"/>
        <v>36</v>
      </c>
      <c r="I148" s="114" t="s">
        <v>16</v>
      </c>
    </row>
    <row r="149" spans="1:15" s="18" customFormat="1" x14ac:dyDescent="0.25">
      <c r="A149" s="191"/>
      <c r="B149" s="192"/>
      <c r="C149" s="192"/>
      <c r="D149" s="196"/>
      <c r="E149" s="113" t="s">
        <v>427</v>
      </c>
      <c r="F149" s="113">
        <v>12.2</v>
      </c>
      <c r="G149" s="113">
        <v>3</v>
      </c>
      <c r="H149" s="113">
        <f t="shared" ref="H149:H151" si="5">F149*G149</f>
        <v>36.599999999999994</v>
      </c>
      <c r="I149" s="114" t="s">
        <v>16</v>
      </c>
    </row>
    <row r="150" spans="1:15" s="18" customFormat="1" x14ac:dyDescent="0.25">
      <c r="A150" s="191"/>
      <c r="B150" s="192"/>
      <c r="C150" s="192"/>
      <c r="D150" s="196"/>
      <c r="E150" s="113" t="s">
        <v>424</v>
      </c>
      <c r="F150" s="113">
        <v>6.9</v>
      </c>
      <c r="G150" s="113">
        <v>3</v>
      </c>
      <c r="H150" s="113">
        <f t="shared" si="5"/>
        <v>20.700000000000003</v>
      </c>
      <c r="I150" s="114" t="s">
        <v>16</v>
      </c>
    </row>
    <row r="151" spans="1:15" s="18" customFormat="1" x14ac:dyDescent="0.25">
      <c r="A151" s="191"/>
      <c r="B151" s="192"/>
      <c r="C151" s="192"/>
      <c r="D151" s="196"/>
      <c r="E151" s="112" t="s">
        <v>428</v>
      </c>
      <c r="F151" s="113">
        <v>0.9</v>
      </c>
      <c r="G151" s="113">
        <v>0.5</v>
      </c>
      <c r="H151" s="113">
        <f t="shared" si="5"/>
        <v>0.45</v>
      </c>
      <c r="I151" s="114" t="s">
        <v>16</v>
      </c>
    </row>
    <row r="152" spans="1:15" s="18" customFormat="1" x14ac:dyDescent="0.25">
      <c r="A152" s="191"/>
      <c r="B152" s="192"/>
      <c r="C152" s="192"/>
      <c r="D152" s="196"/>
      <c r="E152" s="115" t="s">
        <v>429</v>
      </c>
      <c r="F152" s="116"/>
      <c r="G152" s="116"/>
      <c r="H152" s="116">
        <f>SUM(H143:H151)</f>
        <v>342.54999999999995</v>
      </c>
      <c r="I152" s="117" t="s">
        <v>16</v>
      </c>
    </row>
    <row r="153" spans="1:15" s="18" customFormat="1" x14ac:dyDescent="0.25">
      <c r="A153" s="191"/>
      <c r="B153" s="192"/>
      <c r="C153" s="192"/>
      <c r="D153" s="196"/>
      <c r="E153" s="113" t="s">
        <v>89</v>
      </c>
      <c r="F153" s="113"/>
      <c r="G153" s="113"/>
      <c r="H153" s="113"/>
      <c r="I153" s="114"/>
      <c r="K153" s="187"/>
      <c r="L153" s="187"/>
      <c r="M153" s="187"/>
      <c r="N153" s="187"/>
      <c r="O153" s="187"/>
    </row>
    <row r="154" spans="1:15" s="18" customFormat="1" x14ac:dyDescent="0.25">
      <c r="A154" s="191"/>
      <c r="B154" s="192"/>
      <c r="C154" s="192"/>
      <c r="D154" s="196"/>
      <c r="E154" s="113" t="s">
        <v>430</v>
      </c>
      <c r="F154" s="113">
        <v>3.4</v>
      </c>
      <c r="G154" s="113">
        <v>0.5</v>
      </c>
      <c r="H154" s="113">
        <f>G154*F154*3</f>
        <v>5.0999999999999996</v>
      </c>
      <c r="I154" s="114" t="s">
        <v>16</v>
      </c>
      <c r="K154" s="187"/>
      <c r="L154" s="187"/>
      <c r="M154" s="187"/>
      <c r="N154" s="187"/>
      <c r="O154" s="187"/>
    </row>
    <row r="155" spans="1:15" s="18" customFormat="1" x14ac:dyDescent="0.25">
      <c r="A155" s="191"/>
      <c r="B155" s="192"/>
      <c r="C155" s="192"/>
      <c r="D155" s="196"/>
      <c r="E155" s="113" t="s">
        <v>431</v>
      </c>
      <c r="F155" s="113">
        <v>0.6</v>
      </c>
      <c r="G155" s="113">
        <v>0.5</v>
      </c>
      <c r="H155" s="113">
        <f>G155*F155</f>
        <v>0.3</v>
      </c>
      <c r="I155" s="114" t="s">
        <v>16</v>
      </c>
      <c r="K155" s="187"/>
      <c r="L155" s="187"/>
      <c r="M155" s="187"/>
      <c r="N155" s="187"/>
      <c r="O155" s="187"/>
    </row>
    <row r="156" spans="1:15" s="18" customFormat="1" x14ac:dyDescent="0.25">
      <c r="A156" s="191"/>
      <c r="B156" s="192"/>
      <c r="C156" s="192"/>
      <c r="D156" s="196"/>
      <c r="E156" s="113" t="s">
        <v>432</v>
      </c>
      <c r="F156" s="113">
        <v>1.3</v>
      </c>
      <c r="G156" s="113">
        <v>0.5</v>
      </c>
      <c r="H156" s="113">
        <f>G156*F156*2</f>
        <v>1.3</v>
      </c>
      <c r="I156" s="114" t="s">
        <v>16</v>
      </c>
      <c r="K156" s="187"/>
      <c r="L156" s="187"/>
      <c r="M156" s="187"/>
      <c r="N156" s="187"/>
      <c r="O156" s="187"/>
    </row>
    <row r="157" spans="1:15" s="18" customFormat="1" x14ac:dyDescent="0.25">
      <c r="A157" s="191"/>
      <c r="B157" s="192"/>
      <c r="C157" s="192"/>
      <c r="D157" s="196"/>
      <c r="E157" s="113" t="s">
        <v>433</v>
      </c>
      <c r="F157" s="113">
        <v>1.6</v>
      </c>
      <c r="G157" s="113">
        <v>0.5</v>
      </c>
      <c r="H157" s="113">
        <f>G157*F157*2</f>
        <v>1.6</v>
      </c>
      <c r="I157" s="114" t="s">
        <v>16</v>
      </c>
      <c r="K157" s="187"/>
      <c r="L157" s="187"/>
      <c r="M157" s="187"/>
      <c r="N157" s="187"/>
      <c r="O157" s="187"/>
    </row>
    <row r="158" spans="1:15" s="18" customFormat="1" x14ac:dyDescent="0.25">
      <c r="A158" s="191"/>
      <c r="B158" s="192"/>
      <c r="C158" s="192"/>
      <c r="D158" s="196"/>
      <c r="E158" s="113" t="s">
        <v>434</v>
      </c>
      <c r="F158" s="113">
        <v>0.9</v>
      </c>
      <c r="G158" s="113">
        <v>2.1</v>
      </c>
      <c r="H158" s="113">
        <f>G158*F158*3</f>
        <v>5.67</v>
      </c>
      <c r="I158" s="114" t="s">
        <v>16</v>
      </c>
      <c r="K158" s="187"/>
      <c r="L158" s="187"/>
      <c r="M158" s="187"/>
      <c r="N158" s="187"/>
      <c r="O158" s="187"/>
    </row>
    <row r="159" spans="1:15" s="18" customFormat="1" x14ac:dyDescent="0.25">
      <c r="A159" s="191"/>
      <c r="B159" s="192"/>
      <c r="C159" s="192"/>
      <c r="D159" s="196"/>
      <c r="E159" s="113" t="s">
        <v>435</v>
      </c>
      <c r="F159" s="113">
        <v>0.8</v>
      </c>
      <c r="G159" s="113">
        <v>2.1</v>
      </c>
      <c r="H159" s="113">
        <f>G159*F159</f>
        <v>1.6800000000000002</v>
      </c>
      <c r="I159" s="114" t="s">
        <v>16</v>
      </c>
      <c r="K159" s="187"/>
      <c r="L159" s="187"/>
      <c r="M159" s="187"/>
      <c r="N159" s="187"/>
      <c r="O159" s="187"/>
    </row>
    <row r="160" spans="1:15" s="18" customFormat="1" x14ac:dyDescent="0.25">
      <c r="A160" s="191"/>
      <c r="B160" s="192"/>
      <c r="C160" s="192"/>
      <c r="D160" s="196"/>
      <c r="E160" s="113" t="s">
        <v>436</v>
      </c>
      <c r="F160" s="113">
        <v>0.8</v>
      </c>
      <c r="G160" s="113">
        <v>2.1</v>
      </c>
      <c r="H160" s="113">
        <f t="shared" ref="H160:H161" si="6">G160*F160</f>
        <v>1.6800000000000002</v>
      </c>
      <c r="I160" s="114" t="s">
        <v>16</v>
      </c>
    </row>
    <row r="161" spans="1:24" s="18" customFormat="1" x14ac:dyDescent="0.25">
      <c r="A161" s="191"/>
      <c r="B161" s="192"/>
      <c r="C161" s="192"/>
      <c r="D161" s="196"/>
      <c r="E161" s="113" t="s">
        <v>437</v>
      </c>
      <c r="F161" s="113">
        <v>0.9</v>
      </c>
      <c r="G161" s="113">
        <v>2.1</v>
      </c>
      <c r="H161" s="113">
        <f t="shared" si="6"/>
        <v>1.8900000000000001</v>
      </c>
      <c r="I161" s="114" t="s">
        <v>16</v>
      </c>
    </row>
    <row r="162" spans="1:24" s="18" customFormat="1" x14ac:dyDescent="0.25">
      <c r="A162" s="191"/>
      <c r="B162" s="192"/>
      <c r="C162" s="192"/>
      <c r="D162" s="196"/>
      <c r="E162" s="115" t="s">
        <v>429</v>
      </c>
      <c r="F162" s="116"/>
      <c r="G162" s="116"/>
      <c r="H162" s="116">
        <f>SUM(H154:H161)</f>
        <v>19.22</v>
      </c>
      <c r="I162" s="117" t="s">
        <v>16</v>
      </c>
    </row>
    <row r="163" spans="1:24" s="18" customFormat="1" ht="15.75" thickBot="1" x14ac:dyDescent="0.3">
      <c r="A163" s="212"/>
      <c r="B163" s="213"/>
      <c r="C163" s="213"/>
      <c r="D163" s="214"/>
      <c r="E163" s="209" t="s">
        <v>325</v>
      </c>
      <c r="F163" s="209"/>
      <c r="G163" s="209"/>
      <c r="H163" s="209">
        <f>H152-H162</f>
        <v>323.32999999999993</v>
      </c>
      <c r="I163" s="210" t="s">
        <v>16</v>
      </c>
    </row>
    <row r="164" spans="1:24" s="18" customFormat="1" x14ac:dyDescent="0.25">
      <c r="A164" s="203" t="s">
        <v>839</v>
      </c>
      <c r="B164" s="204"/>
      <c r="C164" s="204"/>
      <c r="D164" s="204"/>
      <c r="E164" s="190" t="s">
        <v>438</v>
      </c>
      <c r="F164" s="129"/>
      <c r="G164" s="129"/>
      <c r="H164" s="129">
        <v>19</v>
      </c>
      <c r="I164" s="130" t="s">
        <v>7</v>
      </c>
    </row>
    <row r="165" spans="1:24" s="18" customFormat="1" x14ac:dyDescent="0.25">
      <c r="A165" s="191"/>
      <c r="B165" s="192"/>
      <c r="C165" s="192"/>
      <c r="D165" s="192"/>
      <c r="E165" s="112" t="s">
        <v>439</v>
      </c>
      <c r="F165" s="113"/>
      <c r="G165" s="113"/>
      <c r="H165" s="113">
        <v>15</v>
      </c>
      <c r="I165" s="114" t="s">
        <v>7</v>
      </c>
    </row>
    <row r="166" spans="1:24" s="18" customFormat="1" x14ac:dyDescent="0.25">
      <c r="A166" s="191"/>
      <c r="B166" s="192"/>
      <c r="C166" s="192"/>
      <c r="D166" s="192"/>
      <c r="E166" s="112" t="s">
        <v>440</v>
      </c>
      <c r="F166" s="113"/>
      <c r="G166" s="113"/>
      <c r="H166" s="113">
        <v>7</v>
      </c>
      <c r="I166" s="114" t="s">
        <v>7</v>
      </c>
    </row>
    <row r="167" spans="1:24" s="18" customFormat="1" ht="15.75" thickBot="1" x14ac:dyDescent="0.3">
      <c r="A167" s="191"/>
      <c r="B167" s="279"/>
      <c r="C167" s="279"/>
      <c r="D167" s="279"/>
      <c r="E167" s="112" t="s">
        <v>325</v>
      </c>
      <c r="F167" s="113"/>
      <c r="G167" s="113"/>
      <c r="H167" s="113">
        <f>SUM(H164:H166)</f>
        <v>41</v>
      </c>
      <c r="I167" s="114" t="s">
        <v>7</v>
      </c>
    </row>
    <row r="168" spans="1:24" s="18" customFormat="1" x14ac:dyDescent="0.25">
      <c r="A168" s="295" t="s">
        <v>895</v>
      </c>
      <c r="B168" s="296"/>
      <c r="C168" s="296"/>
      <c r="D168" s="296"/>
      <c r="E168" s="190" t="s">
        <v>445</v>
      </c>
      <c r="F168" s="129"/>
      <c r="G168" s="129"/>
      <c r="H168" s="129">
        <v>1.33</v>
      </c>
      <c r="I168" s="130" t="s">
        <v>16</v>
      </c>
    </row>
    <row r="169" spans="1:24" s="18" customFormat="1" x14ac:dyDescent="0.25">
      <c r="A169" s="191"/>
      <c r="B169" s="294"/>
      <c r="C169" s="294"/>
      <c r="D169" s="294"/>
      <c r="E169" s="112"/>
      <c r="F169" s="113"/>
      <c r="G169" s="113"/>
      <c r="H169" s="113">
        <v>5.04</v>
      </c>
      <c r="I169" s="114" t="s">
        <v>16</v>
      </c>
    </row>
    <row r="170" spans="1:24" s="18" customFormat="1" x14ac:dyDescent="0.25">
      <c r="A170" s="191"/>
      <c r="B170" s="294"/>
      <c r="C170" s="294"/>
      <c r="D170" s="294"/>
      <c r="E170" s="112"/>
      <c r="F170" s="113"/>
      <c r="G170" s="113"/>
      <c r="H170" s="113">
        <v>2.88</v>
      </c>
      <c r="I170" s="114" t="s">
        <v>16</v>
      </c>
    </row>
    <row r="171" spans="1:24" s="18" customFormat="1" ht="15.75" thickBot="1" x14ac:dyDescent="0.3">
      <c r="A171" s="212"/>
      <c r="B171" s="213"/>
      <c r="C171" s="213"/>
      <c r="D171" s="213"/>
      <c r="E171" s="195" t="s">
        <v>325</v>
      </c>
      <c r="F171" s="135"/>
      <c r="G171" s="135"/>
      <c r="H171" s="135">
        <f>SUM(H168:H170)</f>
        <v>9.25</v>
      </c>
      <c r="I171" s="136" t="s">
        <v>16</v>
      </c>
    </row>
    <row r="172" spans="1:24" s="18" customFormat="1" hidden="1" x14ac:dyDescent="0.25">
      <c r="A172" s="191" t="s">
        <v>847</v>
      </c>
      <c r="B172" s="280"/>
      <c r="C172" s="280"/>
      <c r="D172" s="280"/>
      <c r="E172" s="283" t="s">
        <v>848</v>
      </c>
      <c r="F172" s="129" t="s">
        <v>849</v>
      </c>
      <c r="G172" s="129"/>
      <c r="H172" s="129">
        <f>50</f>
        <v>50</v>
      </c>
      <c r="I172" s="130" t="s">
        <v>16</v>
      </c>
    </row>
    <row r="173" spans="1:24" s="18" customFormat="1" hidden="1" x14ac:dyDescent="0.25">
      <c r="A173" s="191"/>
      <c r="B173" s="280"/>
      <c r="C173" s="280"/>
      <c r="D173" s="280"/>
      <c r="E173" s="112" t="s">
        <v>850</v>
      </c>
      <c r="F173" s="113" t="s">
        <v>851</v>
      </c>
      <c r="G173" s="113"/>
      <c r="H173" s="113">
        <f>45.2*2</f>
        <v>90.4</v>
      </c>
      <c r="I173" s="114" t="s">
        <v>16</v>
      </c>
    </row>
    <row r="174" spans="1:24" s="18" customFormat="1" ht="15.75" hidden="1" thickBot="1" x14ac:dyDescent="0.3">
      <c r="A174" s="191"/>
      <c r="B174" s="280"/>
      <c r="C174" s="280"/>
      <c r="D174" s="280"/>
      <c r="E174" s="112"/>
      <c r="F174" s="113"/>
      <c r="G174" s="113"/>
      <c r="H174" s="174">
        <f>H173+H172</f>
        <v>140.4</v>
      </c>
      <c r="I174" s="114" t="s">
        <v>16</v>
      </c>
      <c r="T174" s="113"/>
      <c r="U174" s="113"/>
      <c r="V174" s="113"/>
      <c r="W174" s="113"/>
      <c r="X174" s="113"/>
    </row>
    <row r="175" spans="1:24" s="18" customFormat="1" x14ac:dyDescent="0.25">
      <c r="A175" s="203" t="s">
        <v>896</v>
      </c>
      <c r="B175" s="204"/>
      <c r="C175" s="204"/>
      <c r="D175" s="211"/>
      <c r="E175" s="190" t="s">
        <v>447</v>
      </c>
      <c r="F175" s="129">
        <f>4.14+22.35+4.14</f>
        <v>30.630000000000003</v>
      </c>
      <c r="G175" s="129">
        <v>4.3</v>
      </c>
      <c r="H175" s="129">
        <f>F175*G175</f>
        <v>131.709</v>
      </c>
      <c r="I175" s="130" t="s">
        <v>16</v>
      </c>
    </row>
    <row r="176" spans="1:24" s="18" customFormat="1" x14ac:dyDescent="0.25">
      <c r="A176" s="191"/>
      <c r="B176" s="192"/>
      <c r="C176" s="192"/>
      <c r="D176" s="196"/>
      <c r="E176" s="112" t="s">
        <v>448</v>
      </c>
      <c r="F176" s="113">
        <v>34.36</v>
      </c>
      <c r="G176" s="113">
        <v>4.3</v>
      </c>
      <c r="H176" s="113">
        <f>F176*G176</f>
        <v>147.74799999999999</v>
      </c>
      <c r="I176" s="114" t="s">
        <v>16</v>
      </c>
      <c r="J176" s="177"/>
    </row>
    <row r="177" spans="1:9" s="18" customFormat="1" x14ac:dyDescent="0.25">
      <c r="A177" s="191"/>
      <c r="B177" s="192"/>
      <c r="C177" s="192"/>
      <c r="D177" s="196"/>
      <c r="E177" s="112" t="s">
        <v>449</v>
      </c>
      <c r="F177" s="113">
        <v>14.95</v>
      </c>
      <c r="G177" s="113">
        <v>2.1</v>
      </c>
      <c r="H177" s="113">
        <f>F177*G177</f>
        <v>31.395</v>
      </c>
      <c r="I177" s="114" t="s">
        <v>16</v>
      </c>
    </row>
    <row r="178" spans="1:9" s="18" customFormat="1" x14ac:dyDescent="0.25">
      <c r="A178" s="191"/>
      <c r="B178" s="192"/>
      <c r="C178" s="192"/>
      <c r="D178" s="196"/>
      <c r="E178" s="115" t="s">
        <v>450</v>
      </c>
      <c r="F178" s="116"/>
      <c r="G178" s="116"/>
      <c r="H178" s="116">
        <f>SUM(H175:H177)</f>
        <v>310.85199999999998</v>
      </c>
      <c r="I178" s="117" t="s">
        <v>16</v>
      </c>
    </row>
    <row r="179" spans="1:9" s="18" customFormat="1" x14ac:dyDescent="0.25">
      <c r="A179" s="191"/>
      <c r="B179" s="192"/>
      <c r="C179" s="192"/>
      <c r="D179" s="196"/>
      <c r="E179" s="113" t="s">
        <v>355</v>
      </c>
      <c r="F179" s="113"/>
      <c r="G179" s="113"/>
      <c r="H179" s="113"/>
      <c r="I179" s="114"/>
    </row>
    <row r="180" spans="1:9" s="18" customFormat="1" x14ac:dyDescent="0.25">
      <c r="A180" s="191"/>
      <c r="B180" s="192"/>
      <c r="C180" s="192"/>
      <c r="D180" s="196"/>
      <c r="E180" s="113" t="s">
        <v>430</v>
      </c>
      <c r="F180" s="113">
        <v>3.4</v>
      </c>
      <c r="G180" s="113">
        <v>0.5</v>
      </c>
      <c r="H180" s="113">
        <f>G180*F180*3</f>
        <v>5.0999999999999996</v>
      </c>
      <c r="I180" s="114" t="s">
        <v>16</v>
      </c>
    </row>
    <row r="181" spans="1:9" s="18" customFormat="1" x14ac:dyDescent="0.25">
      <c r="A181" s="191"/>
      <c r="B181" s="192"/>
      <c r="C181" s="192"/>
      <c r="D181" s="196"/>
      <c r="E181" s="113" t="s">
        <v>431</v>
      </c>
      <c r="F181" s="113">
        <v>0.6</v>
      </c>
      <c r="G181" s="113">
        <v>0.5</v>
      </c>
      <c r="H181" s="113">
        <f>G181*F181</f>
        <v>0.3</v>
      </c>
      <c r="I181" s="114" t="s">
        <v>16</v>
      </c>
    </row>
    <row r="182" spans="1:9" s="18" customFormat="1" x14ac:dyDescent="0.25">
      <c r="A182" s="191"/>
      <c r="B182" s="192"/>
      <c r="C182" s="192"/>
      <c r="D182" s="196"/>
      <c r="E182" s="113" t="s">
        <v>432</v>
      </c>
      <c r="F182" s="113">
        <v>1.3</v>
      </c>
      <c r="G182" s="113">
        <v>0.5</v>
      </c>
      <c r="H182" s="113">
        <f>G182*F182*2</f>
        <v>1.3</v>
      </c>
      <c r="I182" s="114" t="s">
        <v>16</v>
      </c>
    </row>
    <row r="183" spans="1:9" s="18" customFormat="1" x14ac:dyDescent="0.25">
      <c r="A183" s="191"/>
      <c r="B183" s="192"/>
      <c r="C183" s="192"/>
      <c r="D183" s="196"/>
      <c r="E183" s="113" t="s">
        <v>433</v>
      </c>
      <c r="F183" s="113">
        <v>1.6</v>
      </c>
      <c r="G183" s="113">
        <v>0.5</v>
      </c>
      <c r="H183" s="113">
        <f>G183*F183*2</f>
        <v>1.6</v>
      </c>
      <c r="I183" s="114" t="s">
        <v>16</v>
      </c>
    </row>
    <row r="184" spans="1:9" s="18" customFormat="1" x14ac:dyDescent="0.25">
      <c r="A184" s="191"/>
      <c r="B184" s="192"/>
      <c r="C184" s="192"/>
      <c r="D184" s="196"/>
      <c r="E184" s="113" t="s">
        <v>451</v>
      </c>
      <c r="F184" s="113">
        <v>1.9</v>
      </c>
      <c r="G184" s="113">
        <v>2.1</v>
      </c>
      <c r="H184" s="113">
        <f>G184*F184*1</f>
        <v>3.9899999999999998</v>
      </c>
      <c r="I184" s="114" t="s">
        <v>16</v>
      </c>
    </row>
    <row r="185" spans="1:9" s="18" customFormat="1" x14ac:dyDescent="0.25">
      <c r="A185" s="191"/>
      <c r="B185" s="192"/>
      <c r="C185" s="192"/>
      <c r="D185" s="196"/>
      <c r="E185" s="115" t="s">
        <v>429</v>
      </c>
      <c r="F185" s="116"/>
      <c r="G185" s="116"/>
      <c r="H185" s="116">
        <f>SUM(H180:H184)</f>
        <v>12.29</v>
      </c>
      <c r="I185" s="117" t="s">
        <v>16</v>
      </c>
    </row>
    <row r="186" spans="1:9" s="18" customFormat="1" ht="15.75" thickBot="1" x14ac:dyDescent="0.3">
      <c r="A186" s="212"/>
      <c r="B186" s="213"/>
      <c r="C186" s="213"/>
      <c r="D186" s="214"/>
      <c r="E186" s="209" t="s">
        <v>325</v>
      </c>
      <c r="F186" s="209"/>
      <c r="G186" s="209"/>
      <c r="H186" s="209">
        <f>H178-H185</f>
        <v>298.56199999999995</v>
      </c>
      <c r="I186" s="210" t="s">
        <v>16</v>
      </c>
    </row>
    <row r="187" spans="1:9" s="18" customFormat="1" x14ac:dyDescent="0.25">
      <c r="A187" s="203" t="s">
        <v>463</v>
      </c>
      <c r="B187" s="204"/>
      <c r="C187" s="204"/>
      <c r="D187" s="211"/>
      <c r="E187" s="129" t="s">
        <v>430</v>
      </c>
      <c r="F187" s="129">
        <v>3.4</v>
      </c>
      <c r="G187" s="129">
        <v>0.5</v>
      </c>
      <c r="H187" s="129">
        <f>G187*F187*3</f>
        <v>5.0999999999999996</v>
      </c>
      <c r="I187" s="130" t="s">
        <v>16</v>
      </c>
    </row>
    <row r="188" spans="1:9" s="18" customFormat="1" x14ac:dyDescent="0.25">
      <c r="A188" s="191"/>
      <c r="B188" s="192"/>
      <c r="C188" s="192"/>
      <c r="D188" s="196"/>
      <c r="E188" s="113" t="s">
        <v>431</v>
      </c>
      <c r="F188" s="113">
        <v>0.6</v>
      </c>
      <c r="G188" s="113">
        <v>0.5</v>
      </c>
      <c r="H188" s="113">
        <f>G188*F188</f>
        <v>0.3</v>
      </c>
      <c r="I188" s="114" t="s">
        <v>16</v>
      </c>
    </row>
    <row r="189" spans="1:9" s="18" customFormat="1" x14ac:dyDescent="0.25">
      <c r="A189" s="191"/>
      <c r="B189" s="192"/>
      <c r="C189" s="192"/>
      <c r="D189" s="196"/>
      <c r="E189" s="113" t="s">
        <v>432</v>
      </c>
      <c r="F189" s="113">
        <v>1.3</v>
      </c>
      <c r="G189" s="113">
        <v>0.5</v>
      </c>
      <c r="H189" s="113">
        <f>G189*F189*2</f>
        <v>1.3</v>
      </c>
      <c r="I189" s="114" t="s">
        <v>16</v>
      </c>
    </row>
    <row r="190" spans="1:9" s="18" customFormat="1" x14ac:dyDescent="0.25">
      <c r="A190" s="191"/>
      <c r="B190" s="192"/>
      <c r="C190" s="192"/>
      <c r="D190" s="196"/>
      <c r="E190" s="113" t="s">
        <v>433</v>
      </c>
      <c r="F190" s="113">
        <v>1.6</v>
      </c>
      <c r="G190" s="113">
        <v>0.5</v>
      </c>
      <c r="H190" s="113">
        <f>G190*F190*2</f>
        <v>1.6</v>
      </c>
      <c r="I190" s="114" t="s">
        <v>16</v>
      </c>
    </row>
    <row r="191" spans="1:9" s="18" customFormat="1" ht="15.75" thickBot="1" x14ac:dyDescent="0.3">
      <c r="A191" s="212"/>
      <c r="B191" s="213"/>
      <c r="C191" s="213"/>
      <c r="D191" s="214"/>
      <c r="E191" s="209" t="s">
        <v>325</v>
      </c>
      <c r="F191" s="209"/>
      <c r="G191" s="209"/>
      <c r="H191" s="209">
        <f>SUM(H187:H190)</f>
        <v>8.2999999999999989</v>
      </c>
      <c r="I191" s="210" t="s">
        <v>16</v>
      </c>
    </row>
    <row r="192" spans="1:9" s="18" customFormat="1" x14ac:dyDescent="0.25">
      <c r="A192" s="203" t="s">
        <v>465</v>
      </c>
      <c r="B192" s="204"/>
      <c r="C192" s="204"/>
      <c r="D192" s="211"/>
      <c r="E192" s="190" t="s">
        <v>467</v>
      </c>
      <c r="F192" s="129">
        <v>0.9</v>
      </c>
      <c r="G192" s="129">
        <v>2.1</v>
      </c>
      <c r="H192" s="129">
        <f>G192*F192*3</f>
        <v>5.67</v>
      </c>
      <c r="I192" s="130" t="s">
        <v>16</v>
      </c>
    </row>
    <row r="193" spans="1:9" s="18" customFormat="1" x14ac:dyDescent="0.25">
      <c r="A193" s="191"/>
      <c r="B193" s="192"/>
      <c r="C193" s="192"/>
      <c r="D193" s="196"/>
      <c r="E193" s="112" t="s">
        <v>466</v>
      </c>
      <c r="F193" s="113">
        <v>1.9</v>
      </c>
      <c r="G193" s="113">
        <v>2.1</v>
      </c>
      <c r="H193" s="113">
        <f>G193*F193</f>
        <v>3.9899999999999998</v>
      </c>
      <c r="I193" s="114" t="s">
        <v>16</v>
      </c>
    </row>
    <row r="194" spans="1:9" s="18" customFormat="1" x14ac:dyDescent="0.25">
      <c r="A194" s="191"/>
      <c r="B194" s="192"/>
      <c r="C194" s="192"/>
      <c r="D194" s="196"/>
      <c r="E194" s="112" t="s">
        <v>435</v>
      </c>
      <c r="F194" s="113">
        <v>0.8</v>
      </c>
      <c r="G194" s="113">
        <v>2.1</v>
      </c>
      <c r="H194" s="113">
        <f>G194*F194</f>
        <v>1.6800000000000002</v>
      </c>
      <c r="I194" s="114" t="s">
        <v>16</v>
      </c>
    </row>
    <row r="195" spans="1:9" s="18" customFormat="1" x14ac:dyDescent="0.25">
      <c r="A195" s="191"/>
      <c r="B195" s="192"/>
      <c r="C195" s="192"/>
      <c r="D195" s="196"/>
      <c r="E195" s="112" t="s">
        <v>436</v>
      </c>
      <c r="F195" s="113">
        <v>0.8</v>
      </c>
      <c r="G195" s="113">
        <v>2.1</v>
      </c>
      <c r="H195" s="113">
        <f t="shared" ref="H195:H196" si="7">G195*F195</f>
        <v>1.6800000000000002</v>
      </c>
      <c r="I195" s="114" t="s">
        <v>16</v>
      </c>
    </row>
    <row r="196" spans="1:9" s="18" customFormat="1" x14ac:dyDescent="0.25">
      <c r="A196" s="191"/>
      <c r="B196" s="192"/>
      <c r="C196" s="192"/>
      <c r="D196" s="196"/>
      <c r="E196" s="112" t="s">
        <v>437</v>
      </c>
      <c r="F196" s="113">
        <v>0.9</v>
      </c>
      <c r="G196" s="113">
        <v>2.1</v>
      </c>
      <c r="H196" s="113">
        <f t="shared" si="7"/>
        <v>1.8900000000000001</v>
      </c>
      <c r="I196" s="114" t="s">
        <v>16</v>
      </c>
    </row>
    <row r="197" spans="1:9" s="18" customFormat="1" ht="15.75" thickBot="1" x14ac:dyDescent="0.3">
      <c r="A197" s="212"/>
      <c r="B197" s="213"/>
      <c r="C197" s="213"/>
      <c r="D197" s="214"/>
      <c r="E197" s="207" t="s">
        <v>325</v>
      </c>
      <c r="F197" s="209"/>
      <c r="G197" s="209"/>
      <c r="H197" s="209">
        <f>SUM(H192:H196)</f>
        <v>14.91</v>
      </c>
      <c r="I197" s="210" t="s">
        <v>16</v>
      </c>
    </row>
    <row r="198" spans="1:9" s="18" customFormat="1" ht="15.75" thickBot="1" x14ac:dyDescent="0.3">
      <c r="A198" s="215" t="s">
        <v>468</v>
      </c>
      <c r="B198" s="216"/>
      <c r="C198" s="216"/>
      <c r="D198" s="217"/>
      <c r="E198" s="182" t="s">
        <v>811</v>
      </c>
      <c r="F198" s="183">
        <v>0.6</v>
      </c>
      <c r="G198" s="183">
        <v>1.8</v>
      </c>
      <c r="H198" s="218">
        <f>G198*F198*10</f>
        <v>10.8</v>
      </c>
      <c r="I198" s="184" t="s">
        <v>16</v>
      </c>
    </row>
    <row r="199" spans="1:9" s="18" customFormat="1" x14ac:dyDescent="0.25">
      <c r="A199" s="203" t="s">
        <v>810</v>
      </c>
      <c r="B199" s="204"/>
      <c r="C199" s="204"/>
      <c r="D199" s="211"/>
      <c r="E199" s="129" t="s">
        <v>470</v>
      </c>
      <c r="F199" s="129">
        <v>3.4</v>
      </c>
      <c r="G199" s="129">
        <v>3</v>
      </c>
      <c r="H199" s="129">
        <f>G199*F199</f>
        <v>10.199999999999999</v>
      </c>
      <c r="I199" s="130" t="s">
        <v>38</v>
      </c>
    </row>
    <row r="200" spans="1:9" s="18" customFormat="1" x14ac:dyDescent="0.25">
      <c r="A200" s="191"/>
      <c r="B200" s="192"/>
      <c r="C200" s="192"/>
      <c r="D200" s="196"/>
      <c r="E200" s="113" t="s">
        <v>361</v>
      </c>
      <c r="F200" s="113">
        <v>0.6</v>
      </c>
      <c r="G200" s="113">
        <v>1</v>
      </c>
      <c r="H200" s="113">
        <f>G200*F200</f>
        <v>0.6</v>
      </c>
      <c r="I200" s="114" t="s">
        <v>38</v>
      </c>
    </row>
    <row r="201" spans="1:9" s="18" customFormat="1" x14ac:dyDescent="0.25">
      <c r="A201" s="191"/>
      <c r="B201" s="192"/>
      <c r="C201" s="192"/>
      <c r="D201" s="196"/>
      <c r="E201" s="113" t="s">
        <v>363</v>
      </c>
      <c r="F201" s="113">
        <v>1.3</v>
      </c>
      <c r="G201" s="113">
        <v>2</v>
      </c>
      <c r="H201" s="113">
        <f t="shared" ref="H201:H202" si="8">G201*F201</f>
        <v>2.6</v>
      </c>
      <c r="I201" s="114" t="s">
        <v>38</v>
      </c>
    </row>
    <row r="202" spans="1:9" s="18" customFormat="1" x14ac:dyDescent="0.25">
      <c r="A202" s="191"/>
      <c r="B202" s="192"/>
      <c r="C202" s="192"/>
      <c r="D202" s="196"/>
      <c r="E202" s="113" t="s">
        <v>365</v>
      </c>
      <c r="F202" s="113">
        <v>1.6</v>
      </c>
      <c r="G202" s="113">
        <v>2</v>
      </c>
      <c r="H202" s="113">
        <f t="shared" si="8"/>
        <v>3.2</v>
      </c>
      <c r="I202" s="114" t="s">
        <v>38</v>
      </c>
    </row>
    <row r="203" spans="1:9" s="18" customFormat="1" ht="15.75" thickBot="1" x14ac:dyDescent="0.3">
      <c r="A203" s="212"/>
      <c r="B203" s="213"/>
      <c r="C203" s="213"/>
      <c r="D203" s="214"/>
      <c r="E203" s="207" t="s">
        <v>325</v>
      </c>
      <c r="F203" s="209"/>
      <c r="G203" s="209"/>
      <c r="H203" s="209">
        <f>SUM(H199:H202)</f>
        <v>16.599999999999998</v>
      </c>
      <c r="I203" s="210" t="s">
        <v>38</v>
      </c>
    </row>
    <row r="204" spans="1:9" s="18" customFormat="1" x14ac:dyDescent="0.25">
      <c r="A204" s="281" t="s">
        <v>858</v>
      </c>
      <c r="B204" s="282"/>
      <c r="C204" s="282"/>
      <c r="D204" s="282"/>
      <c r="E204" s="190" t="s">
        <v>442</v>
      </c>
      <c r="F204" s="129">
        <f>(7.8*3)+(8.3*4)+(6.8*4)</f>
        <v>83.8</v>
      </c>
      <c r="G204" s="129">
        <v>1</v>
      </c>
      <c r="H204" s="129">
        <f>F204*G204</f>
        <v>83.8</v>
      </c>
      <c r="I204" s="130" t="s">
        <v>16</v>
      </c>
    </row>
    <row r="205" spans="1:9" s="18" customFormat="1" x14ac:dyDescent="0.25">
      <c r="A205" s="191"/>
      <c r="B205" s="280"/>
      <c r="C205" s="280"/>
      <c r="D205" s="280"/>
      <c r="E205" s="112"/>
      <c r="F205" s="113">
        <f>13.8*2</f>
        <v>27.6</v>
      </c>
      <c r="G205" s="113">
        <v>2.75</v>
      </c>
      <c r="H205" s="113">
        <f>G205*F205</f>
        <v>75.900000000000006</v>
      </c>
      <c r="I205" s="114" t="s">
        <v>16</v>
      </c>
    </row>
    <row r="206" spans="1:9" s="18" customFormat="1" x14ac:dyDescent="0.25">
      <c r="A206" s="191"/>
      <c r="B206" s="280"/>
      <c r="C206" s="280"/>
      <c r="D206" s="280"/>
      <c r="E206" s="112" t="s">
        <v>859</v>
      </c>
      <c r="F206" s="113">
        <f>2*2.1</f>
        <v>4.2</v>
      </c>
      <c r="G206" s="113">
        <v>3</v>
      </c>
      <c r="H206" s="113">
        <f>G206*F206</f>
        <v>12.600000000000001</v>
      </c>
      <c r="I206" s="114" t="s">
        <v>16</v>
      </c>
    </row>
    <row r="207" spans="1:9" s="18" customFormat="1" ht="15.75" thickBot="1" x14ac:dyDescent="0.3">
      <c r="A207" s="212"/>
      <c r="B207" s="213"/>
      <c r="C207" s="213"/>
      <c r="D207" s="213"/>
      <c r="E207" s="195"/>
      <c r="F207" s="135"/>
      <c r="G207" s="135"/>
      <c r="H207" s="135">
        <f>H205+H204+H206</f>
        <v>172.29999999999998</v>
      </c>
      <c r="I207" s="136" t="s">
        <v>16</v>
      </c>
    </row>
    <row r="208" spans="1:9" s="19" customFormat="1" x14ac:dyDescent="0.25">
      <c r="A208" s="240" t="s">
        <v>479</v>
      </c>
      <c r="B208" s="201"/>
      <c r="C208" s="201"/>
      <c r="D208" s="202"/>
      <c r="E208" s="124"/>
      <c r="F208" s="125"/>
      <c r="G208" s="125"/>
      <c r="H208" s="125"/>
      <c r="I208" s="126"/>
    </row>
    <row r="209" spans="1:10" s="18" customFormat="1" x14ac:dyDescent="0.25">
      <c r="A209" s="197" t="s">
        <v>480</v>
      </c>
      <c r="B209" s="198"/>
      <c r="C209" s="198"/>
      <c r="D209" s="199"/>
      <c r="E209" s="121" t="s">
        <v>487</v>
      </c>
      <c r="F209" s="122"/>
      <c r="G209" s="122"/>
      <c r="H209" s="122">
        <f>H137</f>
        <v>1821.3719999999998</v>
      </c>
      <c r="I209" s="123" t="s">
        <v>16</v>
      </c>
    </row>
    <row r="210" spans="1:10" s="18" customFormat="1" x14ac:dyDescent="0.25">
      <c r="A210" s="191"/>
      <c r="B210" s="192"/>
      <c r="C210" s="192"/>
      <c r="D210" s="196"/>
      <c r="E210" s="112" t="s">
        <v>488</v>
      </c>
      <c r="F210" s="113">
        <v>79.78</v>
      </c>
      <c r="G210" s="113">
        <f>(27.8+26.7+24.9+23.11)*0.45</f>
        <v>46.1295</v>
      </c>
      <c r="H210" s="113">
        <f>G210+F210</f>
        <v>125.90950000000001</v>
      </c>
      <c r="I210" s="114" t="s">
        <v>16</v>
      </c>
    </row>
    <row r="211" spans="1:10" s="18" customFormat="1" x14ac:dyDescent="0.25">
      <c r="A211" s="191"/>
      <c r="B211" s="192"/>
      <c r="C211" s="192"/>
      <c r="D211" s="196"/>
      <c r="E211" s="112" t="s">
        <v>374</v>
      </c>
      <c r="F211" s="113"/>
      <c r="G211" s="113"/>
      <c r="H211" s="174">
        <f>H209-H210</f>
        <v>1695.4624999999999</v>
      </c>
      <c r="I211" s="175" t="s">
        <v>16</v>
      </c>
    </row>
    <row r="212" spans="1:10" s="18" customFormat="1" x14ac:dyDescent="0.25">
      <c r="A212" s="197" t="s">
        <v>481</v>
      </c>
      <c r="B212" s="198"/>
      <c r="C212" s="198"/>
      <c r="D212" s="199"/>
      <c r="E212" s="121" t="s">
        <v>489</v>
      </c>
      <c r="F212" s="122"/>
      <c r="G212" s="122"/>
      <c r="H212" s="122">
        <f>H136</f>
        <v>110.65</v>
      </c>
      <c r="I212" s="123" t="s">
        <v>16</v>
      </c>
    </row>
    <row r="213" spans="1:10" s="18" customFormat="1" x14ac:dyDescent="0.25">
      <c r="A213" s="219"/>
      <c r="B213" s="220"/>
      <c r="C213" s="220"/>
      <c r="D213" s="221"/>
      <c r="E213" s="115" t="s">
        <v>374</v>
      </c>
      <c r="F213" s="116"/>
      <c r="G213" s="116"/>
      <c r="H213" s="150">
        <f>H212</f>
        <v>110.65</v>
      </c>
      <c r="I213" s="186" t="s">
        <v>16</v>
      </c>
    </row>
    <row r="214" spans="1:10" s="18" customFormat="1" x14ac:dyDescent="0.25">
      <c r="A214" s="197" t="s">
        <v>482</v>
      </c>
      <c r="B214" s="198"/>
      <c r="C214" s="198"/>
      <c r="D214" s="199"/>
      <c r="E214" s="121" t="s">
        <v>489</v>
      </c>
      <c r="F214" s="122"/>
      <c r="G214" s="122"/>
      <c r="H214" s="122">
        <f>H213</f>
        <v>110.65</v>
      </c>
      <c r="I214" s="123" t="s">
        <v>16</v>
      </c>
    </row>
    <row r="215" spans="1:10" s="18" customFormat="1" x14ac:dyDescent="0.25">
      <c r="A215" s="219"/>
      <c r="B215" s="220"/>
      <c r="C215" s="220"/>
      <c r="D215" s="221"/>
      <c r="E215" s="115" t="s">
        <v>374</v>
      </c>
      <c r="F215" s="116"/>
      <c r="G215" s="116"/>
      <c r="H215" s="150">
        <f>H214</f>
        <v>110.65</v>
      </c>
      <c r="I215" s="186" t="s">
        <v>16</v>
      </c>
    </row>
    <row r="216" spans="1:10" s="18" customFormat="1" x14ac:dyDescent="0.25">
      <c r="A216" s="197" t="s">
        <v>483</v>
      </c>
      <c r="B216" s="198"/>
      <c r="C216" s="198"/>
      <c r="D216" s="199"/>
      <c r="E216" s="121" t="s">
        <v>490</v>
      </c>
      <c r="F216" s="122"/>
      <c r="G216" s="122"/>
      <c r="H216" s="122">
        <f>H211</f>
        <v>1695.4624999999999</v>
      </c>
      <c r="I216" s="123" t="s">
        <v>16</v>
      </c>
    </row>
    <row r="217" spans="1:10" s="18" customFormat="1" x14ac:dyDescent="0.25">
      <c r="A217" s="219"/>
      <c r="B217" s="220"/>
      <c r="C217" s="220"/>
      <c r="D217" s="221"/>
      <c r="E217" s="115" t="s">
        <v>381</v>
      </c>
      <c r="F217" s="116"/>
      <c r="G217" s="116"/>
      <c r="H217" s="150">
        <f>H216</f>
        <v>1695.4624999999999</v>
      </c>
      <c r="I217" s="186" t="s">
        <v>16</v>
      </c>
      <c r="J217" s="19"/>
    </row>
    <row r="218" spans="1:10" s="18" customFormat="1" x14ac:dyDescent="0.25">
      <c r="A218" s="197" t="s">
        <v>484</v>
      </c>
      <c r="B218" s="198"/>
      <c r="C218" s="198"/>
      <c r="D218" s="199"/>
      <c r="E218" s="121" t="s">
        <v>91</v>
      </c>
      <c r="F218" s="122"/>
      <c r="G218" s="122"/>
      <c r="H218" s="122"/>
      <c r="I218" s="123"/>
    </row>
    <row r="219" spans="1:10" s="18" customFormat="1" x14ac:dyDescent="0.25">
      <c r="A219" s="191"/>
      <c r="B219" s="192"/>
      <c r="C219" s="192"/>
      <c r="D219" s="196"/>
      <c r="E219" s="113" t="s">
        <v>379</v>
      </c>
      <c r="F219" s="113"/>
      <c r="G219" s="113"/>
      <c r="H219" s="113">
        <f>H197</f>
        <v>14.91</v>
      </c>
      <c r="I219" s="114" t="s">
        <v>16</v>
      </c>
    </row>
    <row r="220" spans="1:10" s="18" customFormat="1" x14ac:dyDescent="0.25">
      <c r="A220" s="191"/>
      <c r="B220" s="192"/>
      <c r="C220" s="192"/>
      <c r="D220" s="196"/>
      <c r="E220" s="113" t="s">
        <v>380</v>
      </c>
      <c r="F220" s="113"/>
      <c r="G220" s="113"/>
      <c r="H220" s="113">
        <v>3</v>
      </c>
      <c r="I220" s="114"/>
    </row>
    <row r="221" spans="1:10" s="18" customFormat="1" x14ac:dyDescent="0.25">
      <c r="A221" s="219"/>
      <c r="B221" s="220"/>
      <c r="C221" s="220"/>
      <c r="D221" s="221"/>
      <c r="E221" s="115" t="s">
        <v>381</v>
      </c>
      <c r="F221" s="116"/>
      <c r="G221" s="116"/>
      <c r="H221" s="116">
        <f>H219*H220</f>
        <v>44.730000000000004</v>
      </c>
      <c r="I221" s="117" t="s">
        <v>16</v>
      </c>
    </row>
    <row r="222" spans="1:10" s="18" customFormat="1" x14ac:dyDescent="0.25">
      <c r="A222" s="197" t="s">
        <v>486</v>
      </c>
      <c r="B222" s="198"/>
      <c r="C222" s="198"/>
      <c r="D222" s="199"/>
      <c r="E222" s="121" t="s">
        <v>491</v>
      </c>
      <c r="F222" s="122"/>
      <c r="G222" s="122"/>
      <c r="H222" s="122">
        <f>H186</f>
        <v>298.56199999999995</v>
      </c>
      <c r="I222" s="123" t="s">
        <v>16</v>
      </c>
    </row>
    <row r="223" spans="1:10" s="18" customFormat="1" x14ac:dyDescent="0.25">
      <c r="A223" s="219"/>
      <c r="B223" s="220"/>
      <c r="C223" s="220"/>
      <c r="D223" s="221"/>
      <c r="E223" s="115" t="s">
        <v>381</v>
      </c>
      <c r="F223" s="116"/>
      <c r="G223" s="116"/>
      <c r="H223" s="150">
        <f>H222</f>
        <v>298.56199999999995</v>
      </c>
      <c r="I223" s="186" t="s">
        <v>16</v>
      </c>
    </row>
    <row r="224" spans="1:10" s="18" customFormat="1" ht="15.75" thickBot="1" x14ac:dyDescent="0.3">
      <c r="A224" s="241" t="s">
        <v>511</v>
      </c>
      <c r="B224" s="222"/>
      <c r="C224" s="222"/>
      <c r="D224" s="223"/>
      <c r="E224" s="224"/>
      <c r="F224" s="225"/>
      <c r="G224" s="225"/>
      <c r="H224" s="225"/>
      <c r="I224" s="226"/>
    </row>
    <row r="225" spans="1:22" s="231" customFormat="1" x14ac:dyDescent="0.25">
      <c r="A225" s="227" t="s">
        <v>512</v>
      </c>
      <c r="B225" s="228"/>
      <c r="C225" s="228"/>
      <c r="D225" s="228"/>
      <c r="E225" s="205" t="s">
        <v>513</v>
      </c>
      <c r="F225" s="229"/>
      <c r="G225" s="229"/>
      <c r="H225" s="229">
        <v>113.56</v>
      </c>
      <c r="I225" s="230" t="s">
        <v>16</v>
      </c>
    </row>
    <row r="226" spans="1:22" s="18" customFormat="1" x14ac:dyDescent="0.25">
      <c r="A226" s="232"/>
      <c r="B226" s="233"/>
      <c r="C226" s="233"/>
      <c r="D226" s="233"/>
      <c r="E226" s="234" t="s">
        <v>409</v>
      </c>
      <c r="F226" s="159"/>
      <c r="G226" s="159"/>
      <c r="H226" s="159">
        <f>163.51+19.48</f>
        <v>182.98999999999998</v>
      </c>
      <c r="I226" s="235" t="s">
        <v>16</v>
      </c>
    </row>
    <row r="227" spans="1:22" s="18" customFormat="1" ht="15.75" thickBot="1" x14ac:dyDescent="0.3">
      <c r="A227" s="236"/>
      <c r="B227" s="237"/>
      <c r="C227" s="237"/>
      <c r="D227" s="237"/>
      <c r="E227" s="207" t="s">
        <v>325</v>
      </c>
      <c r="F227" s="209"/>
      <c r="G227" s="209"/>
      <c r="H227" s="209">
        <f>H226+H225</f>
        <v>296.54999999999995</v>
      </c>
      <c r="I227" s="210" t="s">
        <v>16</v>
      </c>
    </row>
    <row r="228" spans="1:22" s="18" customFormat="1" x14ac:dyDescent="0.25">
      <c r="A228" s="227" t="s">
        <v>514</v>
      </c>
      <c r="B228" s="228"/>
      <c r="C228" s="228"/>
      <c r="D228" s="228"/>
      <c r="E228" s="205" t="s">
        <v>516</v>
      </c>
      <c r="F228" s="229"/>
      <c r="G228" s="229"/>
      <c r="H228" s="229">
        <f>H227</f>
        <v>296.54999999999995</v>
      </c>
      <c r="I228" s="230" t="s">
        <v>16</v>
      </c>
    </row>
    <row r="229" spans="1:22" s="18" customFormat="1" ht="15.75" thickBot="1" x14ac:dyDescent="0.3">
      <c r="A229" s="236"/>
      <c r="B229" s="237"/>
      <c r="C229" s="237"/>
      <c r="D229" s="237"/>
      <c r="E229" s="207" t="s">
        <v>325</v>
      </c>
      <c r="F229" s="209"/>
      <c r="G229" s="209"/>
      <c r="H229" s="209">
        <f>H228</f>
        <v>296.54999999999995</v>
      </c>
      <c r="I229" s="210" t="s">
        <v>16</v>
      </c>
    </row>
    <row r="230" spans="1:22" s="18" customFormat="1" x14ac:dyDescent="0.25">
      <c r="A230" s="227" t="s">
        <v>515</v>
      </c>
      <c r="B230" s="228"/>
      <c r="C230" s="228"/>
      <c r="D230" s="228"/>
      <c r="E230" s="205" t="s">
        <v>513</v>
      </c>
      <c r="F230" s="229"/>
      <c r="G230" s="229"/>
      <c r="H230" s="229">
        <v>113.56</v>
      </c>
      <c r="I230" s="230" t="s">
        <v>16</v>
      </c>
    </row>
    <row r="231" spans="1:22" s="18" customFormat="1" ht="15.75" thickBot="1" x14ac:dyDescent="0.3">
      <c r="A231" s="236"/>
      <c r="B231" s="237"/>
      <c r="C231" s="237"/>
      <c r="D231" s="237"/>
      <c r="E231" s="207" t="s">
        <v>325</v>
      </c>
      <c r="F231" s="209"/>
      <c r="G231" s="209"/>
      <c r="H231" s="209">
        <f>H230</f>
        <v>113.56</v>
      </c>
      <c r="I231" s="210" t="s">
        <v>16</v>
      </c>
    </row>
    <row r="232" spans="1:22" s="18" customFormat="1" x14ac:dyDescent="0.25">
      <c r="A232" s="227" t="s">
        <v>517</v>
      </c>
      <c r="B232" s="228"/>
      <c r="C232" s="228"/>
      <c r="D232" s="228"/>
      <c r="E232" s="205" t="s">
        <v>518</v>
      </c>
      <c r="F232" s="229"/>
      <c r="G232" s="229"/>
      <c r="H232" s="229">
        <v>1090.3</v>
      </c>
      <c r="I232" s="230" t="s">
        <v>16</v>
      </c>
    </row>
    <row r="233" spans="1:22" s="18" customFormat="1" ht="15.75" thickBot="1" x14ac:dyDescent="0.3">
      <c r="A233" s="236"/>
      <c r="B233" s="237"/>
      <c r="C233" s="237"/>
      <c r="D233" s="237"/>
      <c r="E233" s="207" t="s">
        <v>325</v>
      </c>
      <c r="F233" s="209"/>
      <c r="G233" s="209"/>
      <c r="H233" s="209">
        <f>H232</f>
        <v>1090.3</v>
      </c>
      <c r="I233" s="210" t="s">
        <v>16</v>
      </c>
    </row>
    <row r="234" spans="1:22" s="18" customFormat="1" ht="15.75" thickBot="1" x14ac:dyDescent="0.3">
      <c r="A234" s="227" t="s">
        <v>520</v>
      </c>
      <c r="B234" s="228"/>
      <c r="C234" s="228"/>
      <c r="D234" s="238"/>
      <c r="E234" s="205" t="s">
        <v>519</v>
      </c>
      <c r="F234" s="229">
        <f>H232</f>
        <v>1090.3</v>
      </c>
      <c r="G234" s="229">
        <v>0.05</v>
      </c>
      <c r="H234" s="181">
        <f>F234*G234</f>
        <v>54.515000000000001</v>
      </c>
      <c r="I234" s="206" t="s">
        <v>42</v>
      </c>
    </row>
    <row r="235" spans="1:22" s="177" customFormat="1" x14ac:dyDescent="0.25">
      <c r="A235" s="227" t="s">
        <v>841</v>
      </c>
      <c r="B235" s="228"/>
      <c r="C235" s="228"/>
      <c r="D235" s="238"/>
      <c r="E235" s="205" t="s">
        <v>842</v>
      </c>
      <c r="F235" s="129"/>
      <c r="G235" s="129"/>
      <c r="H235" s="129"/>
      <c r="I235" s="130"/>
      <c r="T235" s="177">
        <f>45/0.2</f>
        <v>225</v>
      </c>
      <c r="U235" s="177">
        <f>T235*24.6</f>
        <v>5535</v>
      </c>
    </row>
    <row r="236" spans="1:22" s="177" customFormat="1" ht="15.75" thickBot="1" x14ac:dyDescent="0.3">
      <c r="A236" s="236"/>
      <c r="B236" s="237"/>
      <c r="C236" s="237"/>
      <c r="D236" s="237"/>
      <c r="E236" s="207"/>
      <c r="F236" s="208"/>
      <c r="G236" s="208"/>
      <c r="H236" s="209">
        <v>1206.6300000000001</v>
      </c>
      <c r="I236" s="210" t="s">
        <v>510</v>
      </c>
      <c r="T236" s="177">
        <f>24.6/0.2</f>
        <v>123</v>
      </c>
      <c r="U236" s="177">
        <f>T236*45</f>
        <v>5535</v>
      </c>
    </row>
    <row r="237" spans="1:22" s="18" customFormat="1" x14ac:dyDescent="0.25">
      <c r="A237" s="227" t="s">
        <v>522</v>
      </c>
      <c r="B237" s="228"/>
      <c r="C237" s="228"/>
      <c r="D237" s="238"/>
      <c r="E237" s="205" t="s">
        <v>521</v>
      </c>
      <c r="F237" s="229"/>
      <c r="G237" s="229"/>
      <c r="H237" s="181"/>
      <c r="I237" s="206"/>
      <c r="U237" s="18">
        <f>U236+U235</f>
        <v>11070</v>
      </c>
      <c r="V237" s="18">
        <f>U237*0.109</f>
        <v>1206.6300000000001</v>
      </c>
    </row>
    <row r="238" spans="1:22" s="18" customFormat="1" ht="15.75" thickBot="1" x14ac:dyDescent="0.3">
      <c r="A238" s="236"/>
      <c r="B238" s="237"/>
      <c r="C238" s="237"/>
      <c r="D238" s="237"/>
      <c r="E238" s="239"/>
      <c r="F238" s="208">
        <f>H233</f>
        <v>1090.3</v>
      </c>
      <c r="G238" s="208">
        <v>0.1</v>
      </c>
      <c r="H238" s="209">
        <f>F238*G238</f>
        <v>109.03</v>
      </c>
      <c r="I238" s="210" t="s">
        <v>42</v>
      </c>
    </row>
    <row r="239" spans="1:22" s="18" customFormat="1" x14ac:dyDescent="0.25">
      <c r="A239" s="227" t="s">
        <v>523</v>
      </c>
      <c r="B239" s="228"/>
      <c r="C239" s="228"/>
      <c r="D239" s="238"/>
      <c r="E239" s="205" t="s">
        <v>843</v>
      </c>
      <c r="F239" s="229"/>
      <c r="G239" s="229"/>
      <c r="H239" s="181"/>
      <c r="I239" s="206"/>
    </row>
    <row r="240" spans="1:22" s="18" customFormat="1" ht="15.75" thickBot="1" x14ac:dyDescent="0.3">
      <c r="A240" s="236"/>
      <c r="B240" s="237"/>
      <c r="C240" s="237"/>
      <c r="D240" s="237"/>
      <c r="E240" s="239"/>
      <c r="F240" s="208"/>
      <c r="G240" s="208"/>
      <c r="H240" s="209">
        <f>F238-H242</f>
        <v>127.09999999999991</v>
      </c>
      <c r="I240" s="210" t="s">
        <v>16</v>
      </c>
    </row>
    <row r="241" spans="1:9" s="18" customFormat="1" x14ac:dyDescent="0.25">
      <c r="A241" s="227" t="s">
        <v>846</v>
      </c>
      <c r="B241" s="228"/>
      <c r="C241" s="228"/>
      <c r="D241" s="238"/>
      <c r="E241" s="205" t="s">
        <v>844</v>
      </c>
      <c r="F241" s="229"/>
      <c r="G241" s="229"/>
      <c r="H241" s="181"/>
      <c r="I241" s="206"/>
    </row>
    <row r="242" spans="1:9" s="18" customFormat="1" ht="15.75" thickBot="1" x14ac:dyDescent="0.3">
      <c r="A242" s="236"/>
      <c r="B242" s="237"/>
      <c r="C242" s="237"/>
      <c r="D242" s="237"/>
      <c r="E242" s="239"/>
      <c r="F242" s="208"/>
      <c r="G242" s="208"/>
      <c r="H242" s="209">
        <v>963.2</v>
      </c>
      <c r="I242" s="210" t="s">
        <v>16</v>
      </c>
    </row>
    <row r="243" spans="1:9" x14ac:dyDescent="0.25">
      <c r="A243" s="242" t="s">
        <v>812</v>
      </c>
      <c r="B243" s="47"/>
      <c r="C243" s="47"/>
      <c r="D243" s="48"/>
      <c r="E243" s="7" t="s">
        <v>382</v>
      </c>
      <c r="F243" s="8"/>
      <c r="G243" s="8"/>
      <c r="H243" s="8"/>
      <c r="I243" s="9"/>
    </row>
    <row r="244" spans="1:9" x14ac:dyDescent="0.25">
      <c r="A244" s="243" t="s">
        <v>383</v>
      </c>
      <c r="B244" s="49"/>
      <c r="C244" s="49"/>
      <c r="D244" s="50"/>
      <c r="E244" s="4"/>
      <c r="F244" s="5"/>
      <c r="G244" s="5"/>
      <c r="H244" s="5"/>
      <c r="I244" s="6"/>
    </row>
    <row r="245" spans="1:9" x14ac:dyDescent="0.25">
      <c r="A245" s="242" t="s">
        <v>813</v>
      </c>
      <c r="B245" s="47"/>
      <c r="C245" s="47"/>
      <c r="D245" s="48"/>
      <c r="E245" s="7" t="s">
        <v>384</v>
      </c>
      <c r="F245" s="8"/>
      <c r="G245" s="8"/>
      <c r="H245" s="8"/>
      <c r="I245" s="9"/>
    </row>
    <row r="246" spans="1:9" x14ac:dyDescent="0.25">
      <c r="A246" s="243" t="s">
        <v>385</v>
      </c>
      <c r="B246" s="49"/>
      <c r="C246" s="49"/>
      <c r="D246" s="50"/>
      <c r="E246" s="4"/>
      <c r="F246" s="5"/>
      <c r="G246" s="5"/>
      <c r="H246" s="5"/>
      <c r="I246" s="6"/>
    </row>
    <row r="247" spans="1:9" x14ac:dyDescent="0.25">
      <c r="A247" s="242" t="s">
        <v>814</v>
      </c>
      <c r="B247" s="47"/>
      <c r="C247" s="47"/>
      <c r="D247" s="48"/>
      <c r="E247" s="7" t="s">
        <v>386</v>
      </c>
      <c r="F247" s="8"/>
      <c r="G247" s="8"/>
      <c r="H247" s="8"/>
      <c r="I247" s="9"/>
    </row>
    <row r="248" spans="1:9" x14ac:dyDescent="0.25">
      <c r="A248" s="243" t="s">
        <v>387</v>
      </c>
      <c r="B248" s="49"/>
      <c r="C248" s="49"/>
      <c r="D248" s="50"/>
      <c r="E248" s="4"/>
      <c r="F248" s="5"/>
      <c r="G248" s="5"/>
      <c r="H248" s="5"/>
      <c r="I248" s="6"/>
    </row>
    <row r="249" spans="1:9" s="15" customFormat="1" x14ac:dyDescent="0.25">
      <c r="A249" s="244" t="s">
        <v>815</v>
      </c>
      <c r="B249" s="45"/>
      <c r="C249" s="45"/>
      <c r="D249" s="46"/>
      <c r="E249" s="12"/>
      <c r="F249" s="13"/>
      <c r="G249" s="13"/>
      <c r="H249" s="13"/>
      <c r="I249" s="14"/>
    </row>
  </sheetData>
  <mergeCells count="31">
    <mergeCell ref="A78:D81"/>
    <mergeCell ref="A109:D109"/>
    <mergeCell ref="A118:D118"/>
    <mergeCell ref="A117:D117"/>
    <mergeCell ref="A116:D116"/>
    <mergeCell ref="A82:D82"/>
    <mergeCell ref="A85:D85"/>
    <mergeCell ref="A86:D102"/>
    <mergeCell ref="A103:D108"/>
    <mergeCell ref="A115:D115"/>
    <mergeCell ref="A83:D84"/>
    <mergeCell ref="E20:G20"/>
    <mergeCell ref="A13:D14"/>
    <mergeCell ref="A15:D15"/>
    <mergeCell ref="A16:D16"/>
    <mergeCell ref="A17:D17"/>
    <mergeCell ref="A18:D18"/>
    <mergeCell ref="A19:D19"/>
    <mergeCell ref="A20:D20"/>
    <mergeCell ref="E61:I62"/>
    <mergeCell ref="A75:D77"/>
    <mergeCell ref="A21:D21"/>
    <mergeCell ref="A22:D22"/>
    <mergeCell ref="A23:D23"/>
    <mergeCell ref="A65:D65"/>
    <mergeCell ref="A31:D31"/>
    <mergeCell ref="E24:I24"/>
    <mergeCell ref="A74:D74"/>
    <mergeCell ref="A24:D26"/>
    <mergeCell ref="A27:D29"/>
    <mergeCell ref="A66:D6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</vt:lpstr>
      <vt:lpstr>Quantitativo</vt:lpstr>
      <vt:lpstr>Cronograma!Area_de_impressao</vt:lpstr>
      <vt:lpstr>Orçamento!Titulos_de_impressao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2019-05-09T19:01:42Z</cp:lastPrinted>
  <dcterms:created xsi:type="dcterms:W3CDTF">2017-03-21T10:28:53Z</dcterms:created>
  <dcterms:modified xsi:type="dcterms:W3CDTF">2019-05-09T19:33:28Z</dcterms:modified>
  <cp:category/>
  <cp:contentStatus/>
</cp:coreProperties>
</file>