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EstaPasta_de_trabalho"/>
  <mc:AlternateContent xmlns:mc="http://schemas.openxmlformats.org/markup-compatibility/2006">
    <mc:Choice Requires="x15">
      <x15ac:absPath xmlns:x15ac="http://schemas.microsoft.com/office/spreadsheetml/2010/11/ac" url="C:\Users\Usuario\Desktop\Doc Pref\PROJETOS\2017\GRACIOSO CONZATTI\Ateração Eneias 17-05-2019\"/>
    </mc:Choice>
  </mc:AlternateContent>
  <xr:revisionPtr revIDLastSave="0" documentId="13_ncr:1_{E84DDF36-3F80-4FA8-935E-923AD88BD466}" xr6:coauthVersionLast="41" xr6:coauthVersionMax="41" xr10:uidLastSave="{00000000-0000-0000-0000-000000000000}"/>
  <workbookProtection workbookPassword="C95B" lockStructure="1"/>
  <bookViews>
    <workbookView xWindow="-120" yWindow="-120" windowWidth="29040" windowHeight="15840" activeTab="4" xr2:uid="{00000000-000D-0000-FFFF-FFFF00000000}"/>
  </bookViews>
  <sheets>
    <sheet name="DADOS" sheetId="16" r:id="rId1"/>
    <sheet name="BDI (1)" sheetId="17" r:id="rId2"/>
    <sheet name="PO" sheetId="12" r:id="rId3"/>
    <sheet name="PLQ" sheetId="13" r:id="rId4"/>
    <sheet name="CFF" sheetId="11" r:id="rId5"/>
  </sheets>
  <definedNames>
    <definedName name="_xlnm._FilterDatabase" localSheetId="4">CFF!#REF!</definedName>
    <definedName name="_xlnm._FilterDatabase" localSheetId="0">DADOS!#REF!</definedName>
    <definedName name="_xlnm._FilterDatabase" localSheetId="3">PLQ!$A$10:$O$13</definedName>
    <definedName name="_xlnm._FilterDatabase" localSheetId="2">PO!$C$10:$T$13</definedName>
    <definedName name="_xlnm.Print_Area" localSheetId="1">'BDI (1)'!$I$1:$R$50</definedName>
    <definedName name="_xlnm.Print_Area" localSheetId="4">CFF!$L$1:$X$27</definedName>
    <definedName name="_xlnm.Print_Area" localSheetId="0">DADOS!$A$1:$X$87</definedName>
    <definedName name="_xlnm.Print_Area" localSheetId="3">PLQ!$B$1:$P$37</definedName>
    <definedName name="_xlnm.Print_Area" localSheetId="2">PO!$K$1:$T$46</definedName>
    <definedName name="_xlnm.Database">TEXT(Import.DataBase,"mm-aaaa")</definedName>
    <definedName name="CFF.ColunaPadrão">CFF!$AC:$AC</definedName>
    <definedName name="CFF.Colunas">CFF!$P$10:$X$10</definedName>
    <definedName name="CFF.Dados">OFFSET(CFF!$L$17,1,0):OFFSET(CFF!$X$21,-1,-1)</definedName>
    <definedName name="CFF.IncluirLinha">MAX(PO!$V$12:$V$31)*CFF.NumLinha-ROW(CFF!$F$21)+ROW(CFF!$F$17)+1</definedName>
    <definedName name="CFF.Item">OFFSET(CFF!$L$17,1,0):OFFSET(CFF!$X$21,-1,-1)</definedName>
    <definedName name="CFF.LinhaPadrão">CFF!$A$11:$W$11</definedName>
    <definedName name="CFF.NumLinha">ROW(CFF!$D$14)-ROW(CFF!$D$10)-1</definedName>
    <definedName name="Código" localSheetId="2">PO!$M1</definedName>
    <definedName name="Composições.LinhaPadrão">#REF!</definedName>
    <definedName name="Cotações.LinhaPadrão">#REF!</definedName>
    <definedName name="Dados.Assinatura1">DADOS!$B$54:$E$57</definedName>
    <definedName name="Dados.Assinatura2">DADOS!$H$54:$K$57</definedName>
    <definedName name="Dados.Lista.Acompanhamento">DADOS!$P$122:$P$123</definedName>
    <definedName name="Dados.Lista.BDI">DADOS!$T$37:$X$37</definedName>
    <definedName name="Dados.Lista.Localidade">DADOS!$L$107:$L$134</definedName>
    <definedName name="Dados.Lista.RegimeExecução">DADOS!$P$115:$P$120</definedName>
    <definedName name="EXCELVERSAO">IF(MID(INFO("SOLTAR"),1,2)*1&lt;=11,"Excel 2003","Superior")</definedName>
    <definedName name="Fonte" localSheetId="2">PO!$L1</definedName>
    <definedName name="Import.Ação">DADOS!$J$29</definedName>
    <definedName name="Import.Apelido">DADOS!$Q$32</definedName>
    <definedName name="Import.CNPJ">DADOS!$B$57</definedName>
    <definedName name="Import.Código">OFFSET(PO!$M$12,1,0):OFFSET(PO!$M$31,-1,0)</definedName>
    <definedName name="Import.CR">DADOS!$A$29</definedName>
    <definedName name="Import.CTEF">DADOS!$A$43</definedName>
    <definedName name="Import.CustoUnitário">OFFSET(PO!$Q$12,1,0):OFFSET(PO!$Q$31,-1,0)</definedName>
    <definedName name="Import.DadosBDI">DADOS!$S$108:$S$112</definedName>
    <definedName name="Import.DataAssinaturaCTEF">DADOS!$U$43</definedName>
    <definedName name="Import.DataBase">DADOS!$A$38</definedName>
    <definedName name="Import.DataBaseLicit">DADOS!$H$43</definedName>
    <definedName name="Import.DataCot">OFFSET(#REF!,1,0):OFFSET(#REF!,-1,0)</definedName>
    <definedName name="Import.DataCotIndice">OFFSET(#REF!,1,0):OFFSET(#REF!,-1,0)</definedName>
    <definedName name="Import.DataInícioObra">DADOS!$A$48</definedName>
    <definedName name="Import.DescComp">OFFSET(#REF!,1,0):OFFSET(#REF!,-1,0)</definedName>
    <definedName name="Import.DescCot">OFFSET(#REF!,1,0):OFFSET(#REF!,-1,0)</definedName>
    <definedName name="Import.DescLote">DADOS!$G$38</definedName>
    <definedName name="Import.Descrição">OFFSET(PO!$N$12,1,0):OFFSET(PO!$N$31,-1,0)</definedName>
    <definedName name="Import.Desoneracao">DADOS!$C$38</definedName>
    <definedName name="Import.DesoneracaoLicit">DADOS!$J$43</definedName>
    <definedName name="Import.Empresa">DADOS!$C$43</definedName>
    <definedName name="Import.FontComp">OFFSET(#REF!,1,0):OFFSET(#REF!,-1,0)</definedName>
    <definedName name="Import.Fonte">OFFSET(PO!$L$12,1,0):OFFSET(PO!$L$31,-1,0)</definedName>
    <definedName name="Import.FrenteDeObra">PLQ!$F$9:OFFSET(PLQ!$P$9,0,-1)</definedName>
    <definedName name="Import.Gestor">DADOS!$C$29</definedName>
    <definedName name="Import.IndiceAtual">OFFSET(#REF!,1,0):OFFSET(#REF!,-1,0)</definedName>
    <definedName name="Import.IndiceCot">OFFSET(#REF!,1,0):OFFSET(#REF!,-1,0)</definedName>
    <definedName name="Import.Item">OFFSET(PO!$K$12,1,0):OFFSET(PO!$K$31,-1,0)</definedName>
    <definedName name="Import.Localidade">DADOS!$K$32</definedName>
    <definedName name="Import.LocalSINAPI">DADOS!$D$38</definedName>
    <definedName name="Import.Município">DADOS!$G$32</definedName>
    <definedName name="Import.Nível">OFFSET(PO!$J$12,1,0):OFFSET(PO!$J$31,-1,0)</definedName>
    <definedName name="Import.NomeEmpresaForn">OFFSET(#REF!,1,0):OFFSET(#REF!,-1,0)</definedName>
    <definedName name="Import.ObjetoCR">DADOS!$P$29</definedName>
    <definedName name="Import.ObjetoCTEF">DADOS!$O$43</definedName>
    <definedName name="Import.ObsComp">OFFSET(#REF!,1,0):OFFSET(#REF!,-1,0)</definedName>
    <definedName name="Import.ObsCot">OFFSET(#REF!,1,0):OFFSET(#REF!,-1,0)</definedName>
    <definedName name="Import.ObsForn">OFFSET(#REF!,1,0):OFFSET(#REF!,-1,0)</definedName>
    <definedName name="Import.ObsIndice">OFFSET(#REF!,1,0):OFFSET(#REF!,-1,0)</definedName>
    <definedName name="Import.PLQ">OFFSET(PLQ!$F$12,1,0):OFFSET(PLQ!$P$31,-1,-1)</definedName>
    <definedName name="Import.POArred">PO!$X$3:$X$7</definedName>
    <definedName name="Import.PreçoTotal">OFFSET(PO!$T$12,1,0):OFFSET(PO!$T$31,-1,0)</definedName>
    <definedName name="Import.PreçoUnitário">OFFSET(PO!$S$12,1,0):OFFSET(PO!$S$31,-1,0)</definedName>
    <definedName name="Import.Programa">DADOS!$F$29</definedName>
    <definedName name="Import.Proponente">DADOS!$A$32</definedName>
    <definedName name="Import.Quantidade">OFFSET(PO!$P$12,1,0):OFFSET(PO!$P$31,-1,0)</definedName>
    <definedName name="Import.RegimeExecução">DADOS!$K$43</definedName>
    <definedName name="Import.TelefoneForn">OFFSET(#REF!,1,0):OFFSET(#REF!,-1,0)</definedName>
    <definedName name="Import.TipoComp">OFFSET(#REF!,1,0):OFFSET(#REF!,-1,0)</definedName>
    <definedName name="Import.TipoCot">OFFSET(#REF!,1,0):OFFSET(#REF!,-1,0)</definedName>
    <definedName name="Import.Unidade">OFFSET(PO!$O$12,1,0):OFFSET(PO!$O$31,-1,0)</definedName>
    <definedName name="Import.UnidadeComp">OFFSET(#REF!,1,0):OFFSET(#REF!,-1,0)</definedName>
    <definedName name="Import.UnidCot">OFFSET(#REF!,1,0):OFFSET(#REF!,-1,0)</definedName>
    <definedName name="Import.Valor1Indice">OFFSET(#REF!,1,0):OFFSET(#REF!,-1,0)</definedName>
    <definedName name="Import.Valor2Indice">OFFSET(#REF!,1,0):OFFSET(#REF!,-1,0)</definedName>
    <definedName name="Import.ValorBDI">OFFSET(PO!$Z$12,1,0):OFFSET(PO!$Z$31,-1,0)</definedName>
    <definedName name="Import.ValorCot">OFFSET(#REF!,1,0):OFFSET(#REF!,-1,0)</definedName>
    <definedName name="Import.Vigência">DADOS!$W$43</definedName>
    <definedName name="Índices.LinhaPadrão">#REF!</definedName>
    <definedName name="Linhacabeçalhodados">DADOS!$A$220:$X$220</definedName>
    <definedName name="LinhaEncargosSociais">PO!$K$32</definedName>
    <definedName name="linhaSINAPIxls" localSheetId="2">PO!$X1</definedName>
    <definedName name="ListaFornecedor">OFFSET(#REF!,0,0,MAX(#REF!)+1)</definedName>
    <definedName name="ListaIndice">OFFSET(#REF!,1,0,MAX(#REF!))</definedName>
    <definedName name="NMaxCrono">CFF!$A$9</definedName>
    <definedName name="Objeto">DADOS!$A$1</definedName>
    <definedName name="ORÇAMENTO.OpcaoCusto">PO!$Q$10</definedName>
    <definedName name="PLQ.ColunaPadrão">PLQ!$U:$U</definedName>
    <definedName name="PLQ.Colunas">PLQ!$F$10:$P$10</definedName>
    <definedName name="PLQ.FormulaQuant">PLQ!$E$7</definedName>
    <definedName name="PLQ.Item">PLQ!$B$9:OFFSET(PLQ!$B$31,-1,0)</definedName>
    <definedName name="PLQ.LinhaPadrão">PLQ!$A$11:$P$11</definedName>
    <definedName name="PLQ.qtde.frentes">COUNTA(PLQ!$F$9:$P$9)</definedName>
    <definedName name="PO.BDI">OFFSET(PO!$R$12,1,0):OFFSET(PO!$R$31,-1,0)</definedName>
    <definedName name="PO.CustoRef">OFFSET(PO!$Y$12,1,0):OFFSET(PO!$Y$31,-1,0)</definedName>
    <definedName name="PO.CustoUnitario">ROUND(PO!$Q1,15-13*PO!$X$4)</definedName>
    <definedName name="PO.Dados">PO!$C$12:OFFSET(PO!$Z$31,-1,0)</definedName>
    <definedName name="PO.FormulaQuant">PO!$P$9</definedName>
    <definedName name="PO.LinhaPadrão">PO!$C$11:$Z$11</definedName>
    <definedName name="PO.PrecoUnitario">ROUND(PO!$S1,15-13*PO!$X$6)</definedName>
    <definedName name="PO.Quantidade">ROUND(PO!$P1,15-13*PO!$X$3)</definedName>
    <definedName name="Referencia.Descricao">IF(ISNUMBER(PO!linhaSINAPIxls),INDEX(INDIRECT("'[Referência "&amp;_xlnm.Database&amp;".xls]Banco'!$b:$g"),PO!linhaSINAPIxls,3),"")</definedName>
    <definedName name="Referencia.Desonerado">IF(ISNUMBER(PO!linhaSINAPIxls),VALUE(INDEX(INDIRECT("'[Referência "&amp;_xlnm.Database&amp;".xls]Banco'!$b:$g"),PO!linhaSINAPIxls,5)),0)</definedName>
    <definedName name="Referencia.NaoDesonerado">IF(ISNUMBER(PO!linhaSINAPIxls),VALUE(INDEX(INDIRECT("'[Referência "&amp;_xlnm.Database&amp;".xls]Banco'!$b:$g"),PO!linhaSINAPIxls,6)),0)</definedName>
    <definedName name="Referencia.Unidade">IF(ISNUMBER(PO!linhaSINAPIxls),INDEX(INDIRECT("'[Referência "&amp;_xlnm.Database&amp;".xls]Banco'!$b:$g"),PO!linhaSINAPIxls,4),"")</definedName>
    <definedName name="SaldoPerc">1-IF(ISNUMBER(CFF!XFD2),CFF!XFD2,0)</definedName>
    <definedName name="SENHAGT" hidden="1">"quantidades"</definedName>
    <definedName name="SomaAgrup">SUMIF(OFFSET(PO!$A1,1,0,PO!$B1),"S",OFFSET(PO!A1,1,0,PO!$B1))</definedName>
    <definedName name="TipoOrçamento">"BASE"</definedName>
    <definedName name="_xlnm.Print_Titles" localSheetId="4">CFF!$L:$O,CFF!$10:$10</definedName>
    <definedName name="_xlnm.Print_Titles" localSheetId="3">PLQ!$B:$E,PLQ!$9:$10</definedName>
    <definedName name="_xlnm.Print_Titles" localSheetId="2">PO!$10:$10</definedName>
    <definedName name="Versao">DADOS!$A$2</definedName>
    <definedName name="VTOTAL1">ROUND(PO.Quantidade*PO.PrecoUnitario,15-13*PO!$X$7)</definedName>
  </definedNames>
  <calcPr calcId="191029"/>
</workbook>
</file>

<file path=xl/calcChain.xml><?xml version="1.0" encoding="utf-8"?>
<calcChain xmlns="http://schemas.openxmlformats.org/spreadsheetml/2006/main">
  <c r="A30" i="13" l="1"/>
  <c r="E30" i="13" s="1"/>
  <c r="P30" i="12" s="1"/>
  <c r="A29" i="13"/>
  <c r="E29" i="13" s="1"/>
  <c r="P29" i="12" s="1"/>
  <c r="A28" i="13"/>
  <c r="E28" i="13" s="1"/>
  <c r="P28" i="12" s="1"/>
  <c r="A27" i="13"/>
  <c r="E27" i="13" s="1"/>
  <c r="P27" i="12" s="1"/>
  <c r="A26" i="13"/>
  <c r="E26" i="13" s="1"/>
  <c r="P26" i="12" s="1"/>
  <c r="A25" i="13"/>
  <c r="E25" i="13" s="1"/>
  <c r="P25" i="12" s="1"/>
  <c r="A24" i="13"/>
  <c r="E24" i="13" s="1"/>
  <c r="P24" i="12" s="1"/>
  <c r="A23" i="13"/>
  <c r="E23" i="13" s="1"/>
  <c r="P23" i="12" s="1"/>
  <c r="A22" i="13"/>
  <c r="E22" i="13" s="1"/>
  <c r="P22" i="12" s="1"/>
  <c r="A21" i="13"/>
  <c r="E21" i="13" s="1"/>
  <c r="P21" i="12" s="1"/>
  <c r="A20" i="13"/>
  <c r="E20" i="13" s="1"/>
  <c r="P20" i="12" s="1"/>
  <c r="A19" i="13"/>
  <c r="E19" i="13" s="1"/>
  <c r="P19" i="12" s="1"/>
  <c r="A18" i="13"/>
  <c r="E18" i="13" s="1"/>
  <c r="P18" i="12" s="1"/>
  <c r="A17" i="13"/>
  <c r="E17" i="13" s="1"/>
  <c r="P17" i="12" s="1"/>
  <c r="A16" i="13"/>
  <c r="E16" i="13" s="1"/>
  <c r="P16" i="12" s="1"/>
  <c r="A15" i="13"/>
  <c r="E15" i="13" s="1"/>
  <c r="P15" i="12" s="1"/>
  <c r="A14" i="13"/>
  <c r="E14" i="13" s="1"/>
  <c r="P14" i="12" s="1"/>
  <c r="W30" i="12"/>
  <c r="A30" i="12"/>
  <c r="W29" i="12"/>
  <c r="A29" i="12"/>
  <c r="B29" i="12" s="1"/>
  <c r="W28" i="12"/>
  <c r="A28" i="12"/>
  <c r="I28" i="12" s="1"/>
  <c r="W27" i="12"/>
  <c r="A27" i="12"/>
  <c r="H27" i="12" s="1"/>
  <c r="V27" i="12"/>
  <c r="W26" i="12"/>
  <c r="A26" i="12"/>
  <c r="B26" i="12" s="1"/>
  <c r="W25" i="12"/>
  <c r="A25" i="12"/>
  <c r="I25" i="12" s="1"/>
  <c r="W24" i="12"/>
  <c r="A24" i="12"/>
  <c r="H24" i="12" s="1"/>
  <c r="W23" i="12"/>
  <c r="A23" i="12"/>
  <c r="V23" i="12" s="1"/>
  <c r="W22" i="12"/>
  <c r="A22" i="12"/>
  <c r="B22" i="12" s="1"/>
  <c r="W21" i="12"/>
  <c r="H21" i="12"/>
  <c r="B21" i="12"/>
  <c r="A21" i="12"/>
  <c r="W20" i="12"/>
  <c r="A20" i="12"/>
  <c r="H20" i="12" s="1"/>
  <c r="W19" i="12"/>
  <c r="A19" i="12"/>
  <c r="H19" i="12" s="1"/>
  <c r="V19" i="12"/>
  <c r="W18" i="12"/>
  <c r="A18" i="12"/>
  <c r="W17" i="12"/>
  <c r="H17" i="12"/>
  <c r="A17" i="12"/>
  <c r="B17" i="12" s="1"/>
  <c r="W16" i="12"/>
  <c r="A16" i="12"/>
  <c r="W15" i="12"/>
  <c r="A15" i="12"/>
  <c r="H15" i="12" s="1"/>
  <c r="W14" i="12"/>
  <c r="A14" i="12"/>
  <c r="B14" i="12" s="1"/>
  <c r="E7" i="13"/>
  <c r="P9" i="12"/>
  <c r="F10" i="13"/>
  <c r="G10" i="13" s="1"/>
  <c r="H10" i="13" s="1"/>
  <c r="I10" i="13" s="1"/>
  <c r="J10" i="13" s="1"/>
  <c r="K10" i="13" s="1"/>
  <c r="L10" i="13" s="1"/>
  <c r="M10" i="13" s="1"/>
  <c r="N10" i="13" s="1"/>
  <c r="O10" i="13" s="1"/>
  <c r="U10" i="13"/>
  <c r="AC9" i="11"/>
  <c r="AC10" i="11" s="1"/>
  <c r="K39" i="12"/>
  <c r="X13" i="12"/>
  <c r="Y13" i="12" s="1"/>
  <c r="W13" i="12"/>
  <c r="N24" i="17"/>
  <c r="N26" i="17" s="1"/>
  <c r="Q224" i="16"/>
  <c r="Q223" i="16"/>
  <c r="P2" i="11"/>
  <c r="A20" i="11"/>
  <c r="Q10" i="12"/>
  <c r="Q11" i="17"/>
  <c r="I37" i="17" s="1"/>
  <c r="N8" i="11"/>
  <c r="O9" i="11"/>
  <c r="P9" i="11" s="1"/>
  <c r="Q9" i="11" s="1"/>
  <c r="O10" i="11"/>
  <c r="A13" i="11"/>
  <c r="K13" i="11" s="1"/>
  <c r="N11" i="11" s="1"/>
  <c r="D17" i="11"/>
  <c r="L23" i="11"/>
  <c r="K45" i="12"/>
  <c r="O42" i="17" s="1"/>
  <c r="A11" i="13"/>
  <c r="E11" i="13" s="1"/>
  <c r="P11" i="12" s="1"/>
  <c r="X11" i="12"/>
  <c r="O11" i="12" s="1"/>
  <c r="D11" i="13" s="1"/>
  <c r="J12" i="12"/>
  <c r="A12" i="13" s="1"/>
  <c r="N12" i="12"/>
  <c r="U12" i="12" s="1"/>
  <c r="C12" i="13"/>
  <c r="A13" i="13"/>
  <c r="E13" i="13" s="1"/>
  <c r="P13" i="12" s="1"/>
  <c r="K42" i="12"/>
  <c r="N2" i="12"/>
  <c r="Y10" i="12"/>
  <c r="Z10" i="12"/>
  <c r="A11" i="12"/>
  <c r="B11" i="12" s="1"/>
  <c r="W11" i="12"/>
  <c r="A13" i="12"/>
  <c r="N13" i="12" s="1"/>
  <c r="C13" i="13" s="1"/>
  <c r="N1" i="17"/>
  <c r="C2" i="17"/>
  <c r="A3" i="17"/>
  <c r="C3" i="17" s="1"/>
  <c r="I5" i="17"/>
  <c r="K5" i="17"/>
  <c r="C8" i="17"/>
  <c r="I8" i="17"/>
  <c r="C9" i="17"/>
  <c r="C10" i="17"/>
  <c r="C11" i="17"/>
  <c r="C12" i="17"/>
  <c r="C13" i="17"/>
  <c r="C14" i="17"/>
  <c r="A15" i="17"/>
  <c r="C15" i="17" s="1"/>
  <c r="I18" i="17"/>
  <c r="M18" i="17"/>
  <c r="I19" i="17"/>
  <c r="M19" i="17"/>
  <c r="I20" i="17"/>
  <c r="M20" i="17"/>
  <c r="C21" i="17"/>
  <c r="I21" i="17"/>
  <c r="M21" i="17"/>
  <c r="A22" i="17"/>
  <c r="C22" i="17"/>
  <c r="I22" i="17"/>
  <c r="M22" i="17"/>
  <c r="C27" i="17"/>
  <c r="A28" i="17"/>
  <c r="C28" i="17" s="1"/>
  <c r="I29" i="17"/>
  <c r="M32" i="17"/>
  <c r="I35" i="17"/>
  <c r="C38" i="17"/>
  <c r="A39" i="17"/>
  <c r="C39" i="17" s="1"/>
  <c r="C44" i="17"/>
  <c r="A45" i="17"/>
  <c r="A46" i="17" s="1"/>
  <c r="J47" i="17"/>
  <c r="J48" i="17"/>
  <c r="J49" i="17"/>
  <c r="J50" i="17"/>
  <c r="A55" i="16"/>
  <c r="G55" i="16" s="1"/>
  <c r="A56" i="16"/>
  <c r="G56" i="16" s="1"/>
  <c r="I49" i="17"/>
  <c r="A57" i="16"/>
  <c r="I50" i="17"/>
  <c r="A220" i="16"/>
  <c r="C220" i="16"/>
  <c r="F220" i="16"/>
  <c r="J220" i="16"/>
  <c r="A221" i="16"/>
  <c r="C221" i="16"/>
  <c r="F221" i="16"/>
  <c r="J221" i="16"/>
  <c r="L221" i="16"/>
  <c r="N221" i="16"/>
  <c r="A223" i="16"/>
  <c r="G223" i="16"/>
  <c r="K223" i="16"/>
  <c r="P220" i="16"/>
  <c r="A224" i="16"/>
  <c r="G224" i="16"/>
  <c r="H224" i="16"/>
  <c r="J224" i="16"/>
  <c r="K224" i="16"/>
  <c r="P221" i="16"/>
  <c r="A226" i="16"/>
  <c r="C226" i="16"/>
  <c r="D226" i="16"/>
  <c r="G226" i="16"/>
  <c r="T226" i="16"/>
  <c r="U226" i="16"/>
  <c r="V226" i="16"/>
  <c r="W226" i="16"/>
  <c r="X226" i="16"/>
  <c r="A227" i="16"/>
  <c r="C227" i="16"/>
  <c r="D227" i="16"/>
  <c r="E227" i="16"/>
  <c r="F227" i="16"/>
  <c r="G227" i="16"/>
  <c r="H227" i="16"/>
  <c r="I227" i="16"/>
  <c r="J227" i="16"/>
  <c r="K227" i="16"/>
  <c r="L227" i="16"/>
  <c r="M227" i="16"/>
  <c r="N227" i="16"/>
  <c r="O227" i="16"/>
  <c r="P227" i="16"/>
  <c r="Q227" i="16"/>
  <c r="R227" i="16"/>
  <c r="S227" i="16"/>
  <c r="A230" i="16"/>
  <c r="C230" i="16"/>
  <c r="E230" i="16"/>
  <c r="G230" i="16"/>
  <c r="H230" i="16"/>
  <c r="I230" i="16"/>
  <c r="J230" i="16"/>
  <c r="K230" i="16"/>
  <c r="M230" i="16"/>
  <c r="N230" i="16"/>
  <c r="O230" i="16"/>
  <c r="Q230" i="16"/>
  <c r="S230" i="16"/>
  <c r="U230" i="16"/>
  <c r="W230" i="16"/>
  <c r="G57" i="16"/>
  <c r="A23" i="17"/>
  <c r="A24" i="17" s="1"/>
  <c r="A4" i="17"/>
  <c r="C4" i="17" s="1"/>
  <c r="G13" i="12"/>
  <c r="E13" i="12"/>
  <c r="E14" i="12" s="1"/>
  <c r="F13" i="12"/>
  <c r="S13" i="12"/>
  <c r="C13" i="12"/>
  <c r="C11" i="12"/>
  <c r="I11" i="12"/>
  <c r="V24" i="12"/>
  <c r="G11" i="12"/>
  <c r="H11" i="12"/>
  <c r="F11" i="12"/>
  <c r="B16" i="12"/>
  <c r="H16" i="12"/>
  <c r="D11" i="12"/>
  <c r="B28" i="12"/>
  <c r="V28" i="12"/>
  <c r="E11" i="12"/>
  <c r="I16" i="12"/>
  <c r="V11" i="12"/>
  <c r="I14" i="12"/>
  <c r="V16" i="12"/>
  <c r="B18" i="12"/>
  <c r="H18" i="12"/>
  <c r="I18" i="12"/>
  <c r="V18" i="12"/>
  <c r="V20" i="12"/>
  <c r="V22" i="12"/>
  <c r="I17" i="12"/>
  <c r="V17" i="12"/>
  <c r="I21" i="12"/>
  <c r="V21" i="12"/>
  <c r="H26" i="12"/>
  <c r="I29" i="12"/>
  <c r="V29" i="12"/>
  <c r="H30" i="12"/>
  <c r="I26" i="12"/>
  <c r="V26" i="12"/>
  <c r="I30" i="12"/>
  <c r="V30" i="12"/>
  <c r="I19" i="12"/>
  <c r="I23" i="12"/>
  <c r="B30" i="12"/>
  <c r="V13" i="12"/>
  <c r="D13" i="13"/>
  <c r="X30" i="12"/>
  <c r="X22" i="12"/>
  <c r="X18" i="12"/>
  <c r="X19" i="12"/>
  <c r="W38" i="16"/>
  <c r="X21" i="12"/>
  <c r="X24" i="12"/>
  <c r="X38" i="16"/>
  <c r="X27" i="12"/>
  <c r="V38" i="16"/>
  <c r="X23" i="12"/>
  <c r="X25" i="12"/>
  <c r="X14" i="12"/>
  <c r="X26" i="12"/>
  <c r="X17" i="12"/>
  <c r="X16" i="12"/>
  <c r="X28" i="12"/>
  <c r="X29" i="12"/>
  <c r="X20" i="12"/>
  <c r="X15" i="12"/>
  <c r="U38" i="16"/>
  <c r="H28" i="12" l="1"/>
  <c r="F14" i="12"/>
  <c r="F15" i="12" s="1"/>
  <c r="F16" i="12" s="1"/>
  <c r="F17" i="12" s="1"/>
  <c r="F18" i="12" s="1"/>
  <c r="F19" i="12" s="1"/>
  <c r="F20" i="12" s="1"/>
  <c r="F21" i="12" s="1"/>
  <c r="F22" i="12" s="1"/>
  <c r="F23" i="12" s="1"/>
  <c r="F24" i="12" s="1"/>
  <c r="F25" i="12" s="1"/>
  <c r="F26" i="12" s="1"/>
  <c r="F27" i="12" s="1"/>
  <c r="F28" i="12" s="1"/>
  <c r="F29" i="12" s="1"/>
  <c r="F30" i="12" s="1"/>
  <c r="A5" i="17"/>
  <c r="C45" i="17"/>
  <c r="A29" i="17"/>
  <c r="H14" i="12"/>
  <c r="B19" i="12"/>
  <c r="C14" i="12"/>
  <c r="G14" i="12"/>
  <c r="C23" i="17"/>
  <c r="V14" i="12"/>
  <c r="H29" i="12"/>
  <c r="Y28" i="12"/>
  <c r="Y29" i="12"/>
  <c r="Y11" i="12"/>
  <c r="C30" i="13"/>
  <c r="O27" i="17"/>
  <c r="L32" i="17"/>
  <c r="M33" i="17"/>
  <c r="Y26" i="12"/>
  <c r="Y24" i="12"/>
  <c r="Y23" i="12"/>
  <c r="Y21" i="12"/>
  <c r="D20" i="13"/>
  <c r="Y19" i="12"/>
  <c r="Y17" i="12"/>
  <c r="Y15" i="12"/>
  <c r="Y14" i="12"/>
  <c r="A47" i="17"/>
  <c r="C46" i="17"/>
  <c r="A25" i="17"/>
  <c r="C24" i="17"/>
  <c r="D25" i="13"/>
  <c r="C23" i="13"/>
  <c r="I22" i="12"/>
  <c r="I20" i="12"/>
  <c r="B15" i="12"/>
  <c r="B23" i="12"/>
  <c r="B25" i="12"/>
  <c r="I27" i="12"/>
  <c r="V25" i="12"/>
  <c r="H22" i="12"/>
  <c r="B20" i="12"/>
  <c r="V15" i="12"/>
  <c r="B24" i="12"/>
  <c r="E15" i="12"/>
  <c r="E16" i="12" s="1"/>
  <c r="E17" i="12" s="1"/>
  <c r="E18" i="12" s="1"/>
  <c r="E19" i="12" s="1"/>
  <c r="E20" i="12" s="1"/>
  <c r="E21" i="12" s="1"/>
  <c r="E22" i="12" s="1"/>
  <c r="E23" i="12" s="1"/>
  <c r="E24" i="12" s="1"/>
  <c r="E25" i="12" s="1"/>
  <c r="E26" i="12" s="1"/>
  <c r="E27" i="12" s="1"/>
  <c r="E28" i="12" s="1"/>
  <c r="E29" i="12" s="1"/>
  <c r="E30" i="12" s="1"/>
  <c r="N25" i="17"/>
  <c r="A40" i="17"/>
  <c r="A17" i="17"/>
  <c r="D13" i="12"/>
  <c r="D14" i="12" s="1"/>
  <c r="D15" i="12" s="1"/>
  <c r="D16" i="12" s="1"/>
  <c r="D17" i="12" s="1"/>
  <c r="D18" i="12" s="1"/>
  <c r="D19" i="12" s="1"/>
  <c r="D20" i="12" s="1"/>
  <c r="D21" i="12" s="1"/>
  <c r="D22" i="12" s="1"/>
  <c r="D23" i="12" s="1"/>
  <c r="D24" i="12" s="1"/>
  <c r="D25" i="12" s="1"/>
  <c r="D26" i="12" s="1"/>
  <c r="D27" i="12" s="1"/>
  <c r="D28" i="12" s="1"/>
  <c r="D29" i="12" s="1"/>
  <c r="D30" i="12" s="1"/>
  <c r="C22" i="13"/>
  <c r="H23" i="12"/>
  <c r="H25" i="12"/>
  <c r="B27" i="12"/>
  <c r="A5" i="12"/>
  <c r="K11" i="12" s="1"/>
  <c r="B11" i="13" s="1"/>
  <c r="I15" i="12"/>
  <c r="I24" i="12"/>
  <c r="G15" i="12"/>
  <c r="G16" i="12" s="1"/>
  <c r="G17" i="12" s="1"/>
  <c r="G18" i="12" s="1"/>
  <c r="G19" i="12" s="1"/>
  <c r="G20" i="12" s="1"/>
  <c r="G21" i="12" s="1"/>
  <c r="G22" i="12" s="1"/>
  <c r="G23" i="12" s="1"/>
  <c r="G24" i="12" s="1"/>
  <c r="G25" i="12" s="1"/>
  <c r="G26" i="12" s="1"/>
  <c r="G27" i="12" s="1"/>
  <c r="G28" i="12" s="1"/>
  <c r="G29" i="12" s="1"/>
  <c r="G30" i="12" s="1"/>
  <c r="C21" i="13"/>
  <c r="B36" i="13"/>
  <c r="C29" i="13"/>
  <c r="Y16" i="12"/>
  <c r="D16" i="13"/>
  <c r="D15" i="13"/>
  <c r="C18" i="13"/>
  <c r="M18" i="11"/>
  <c r="D18" i="13"/>
  <c r="D22" i="13"/>
  <c r="Y20" i="12"/>
  <c r="Y27" i="12"/>
  <c r="N11" i="12"/>
  <c r="U11" i="12" s="1"/>
  <c r="Y18" i="12"/>
  <c r="D17" i="13"/>
  <c r="D21" i="13"/>
  <c r="D19" i="13"/>
  <c r="C19" i="13"/>
  <c r="Y30" i="12"/>
  <c r="D30" i="13"/>
  <c r="Y22" i="12"/>
  <c r="D29" i="13"/>
  <c r="C20" i="11"/>
  <c r="F20" i="11" s="1"/>
  <c r="D27" i="13"/>
  <c r="L26" i="11"/>
  <c r="C15" i="12"/>
  <c r="D14" i="13"/>
  <c r="M11" i="11"/>
  <c r="D26" i="13"/>
  <c r="K13" i="12"/>
  <c r="Y25" i="12"/>
  <c r="L11" i="11"/>
  <c r="D23" i="13"/>
  <c r="D24" i="13"/>
  <c r="D28" i="13"/>
  <c r="P10" i="11"/>
  <c r="S109" i="16"/>
  <c r="U227" i="16"/>
  <c r="S112" i="16"/>
  <c r="X227" i="16"/>
  <c r="S111" i="16"/>
  <c r="W227" i="16"/>
  <c r="V227" i="16"/>
  <c r="S110" i="16"/>
  <c r="R9" i="11"/>
  <c r="Q10" i="11"/>
  <c r="B33" i="13"/>
  <c r="I42" i="17"/>
  <c r="C16" i="13"/>
  <c r="C13" i="11"/>
  <c r="A6" i="17" l="1"/>
  <c r="C5" i="17"/>
  <c r="A32" i="17"/>
  <c r="C29" i="17"/>
  <c r="C27" i="13"/>
  <c r="C11" i="13"/>
  <c r="A26" i="17"/>
  <c r="C26" i="17" s="1"/>
  <c r="C25" i="17"/>
  <c r="O25" i="17"/>
  <c r="N27" i="17"/>
  <c r="C25" i="13"/>
  <c r="A18" i="17"/>
  <c r="C17" i="17"/>
  <c r="C47" i="17"/>
  <c r="A48" i="17"/>
  <c r="K14" i="12"/>
  <c r="B14" i="13" s="1"/>
  <c r="A41" i="17"/>
  <c r="C40" i="17"/>
  <c r="C26" i="13"/>
  <c r="I20" i="11"/>
  <c r="C17" i="13"/>
  <c r="E20" i="11"/>
  <c r="J20" i="11" s="1"/>
  <c r="B20" i="11"/>
  <c r="G20" i="11"/>
  <c r="H20" i="11"/>
  <c r="C28" i="13"/>
  <c r="C20" i="13"/>
  <c r="C14" i="13"/>
  <c r="B13" i="13"/>
  <c r="L18" i="11"/>
  <c r="C24" i="13"/>
  <c r="C15" i="13"/>
  <c r="K15" i="12"/>
  <c r="B15" i="13" s="1"/>
  <c r="C16" i="12"/>
  <c r="R10" i="11"/>
  <c r="S9" i="11"/>
  <c r="T9" i="11" s="1"/>
  <c r="U9" i="11" s="1"/>
  <c r="V9" i="11" s="1"/>
  <c r="W9" i="11" s="1"/>
  <c r="B13" i="11"/>
  <c r="J13" i="11"/>
  <c r="F13" i="11"/>
  <c r="G13" i="11"/>
  <c r="E13" i="11"/>
  <c r="H13" i="11"/>
  <c r="I13" i="11"/>
  <c r="T38" i="16"/>
  <c r="Q18" i="17" l="1"/>
  <c r="Q19" i="17"/>
  <c r="R20" i="17"/>
  <c r="R19" i="17"/>
  <c r="P20" i="17"/>
  <c r="Q20" i="17"/>
  <c r="A33" i="17"/>
  <c r="C32" i="17"/>
  <c r="A7" i="17"/>
  <c r="C7" i="17" s="1"/>
  <c r="P26" i="17" s="1"/>
  <c r="C6" i="17"/>
  <c r="Z11" i="12"/>
  <c r="S11" i="12" s="1"/>
  <c r="T11" i="12" s="1"/>
  <c r="Z23" i="12"/>
  <c r="S23" i="12" s="1"/>
  <c r="T23" i="12" s="1"/>
  <c r="U23" i="12" s="1"/>
  <c r="Z27" i="12"/>
  <c r="S27" i="12" s="1"/>
  <c r="T27" i="12" s="1"/>
  <c r="U27" i="12" s="1"/>
  <c r="Z19" i="12"/>
  <c r="S19" i="12" s="1"/>
  <c r="T19" i="12" s="1"/>
  <c r="U19" i="12" s="1"/>
  <c r="Z26" i="12"/>
  <c r="S26" i="12" s="1"/>
  <c r="T26" i="12" s="1"/>
  <c r="U26" i="12" s="1"/>
  <c r="Z20" i="12"/>
  <c r="S20" i="12" s="1"/>
  <c r="T20" i="12" s="1"/>
  <c r="U20" i="12" s="1"/>
  <c r="Z17" i="12"/>
  <c r="S17" i="12" s="1"/>
  <c r="T17" i="12" s="1"/>
  <c r="U17" i="12" s="1"/>
  <c r="Z15" i="12"/>
  <c r="S15" i="12" s="1"/>
  <c r="T15" i="12" s="1"/>
  <c r="U15" i="12" s="1"/>
  <c r="Z28" i="12"/>
  <c r="S28" i="12" s="1"/>
  <c r="T28" i="12" s="1"/>
  <c r="U28" i="12" s="1"/>
  <c r="Z25" i="12"/>
  <c r="S25" i="12" s="1"/>
  <c r="T25" i="12" s="1"/>
  <c r="U25" i="12" s="1"/>
  <c r="T227" i="16"/>
  <c r="Z29" i="12"/>
  <c r="S29" i="12" s="1"/>
  <c r="T29" i="12" s="1"/>
  <c r="U29" i="12" s="1"/>
  <c r="Z22" i="12"/>
  <c r="S22" i="12" s="1"/>
  <c r="T22" i="12" s="1"/>
  <c r="U22" i="12" s="1"/>
  <c r="Z16" i="12"/>
  <c r="S16" i="12" s="1"/>
  <c r="T16" i="12" s="1"/>
  <c r="U16" i="12" s="1"/>
  <c r="Z30" i="12"/>
  <c r="S30" i="12" s="1"/>
  <c r="T30" i="12" s="1"/>
  <c r="U30" i="12" s="1"/>
  <c r="Z24" i="12"/>
  <c r="S24" i="12" s="1"/>
  <c r="T24" i="12" s="1"/>
  <c r="U24" i="12" s="1"/>
  <c r="Z13" i="12"/>
  <c r="Z18" i="12"/>
  <c r="S18" i="12" s="1"/>
  <c r="T18" i="12" s="1"/>
  <c r="U18" i="12" s="1"/>
  <c r="Z14" i="12"/>
  <c r="S14" i="12" s="1"/>
  <c r="T14" i="12" s="1"/>
  <c r="U14" i="12" s="1"/>
  <c r="S108" i="16"/>
  <c r="Z21" i="12"/>
  <c r="S21" i="12" s="1"/>
  <c r="T21" i="12" s="1"/>
  <c r="U21" i="12" s="1"/>
  <c r="C41" i="17"/>
  <c r="A42" i="17"/>
  <c r="C18" i="17"/>
  <c r="A19" i="17"/>
  <c r="A49" i="17"/>
  <c r="C49" i="17" s="1"/>
  <c r="C48" i="17"/>
  <c r="D20" i="11"/>
  <c r="U18" i="11"/>
  <c r="AC18" i="11"/>
  <c r="AC19" i="11" s="1"/>
  <c r="S18" i="11"/>
  <c r="W18" i="11"/>
  <c r="T18" i="11"/>
  <c r="V18" i="11"/>
  <c r="P19" i="11"/>
  <c r="Q19" i="11" s="1"/>
  <c r="T10" i="11"/>
  <c r="V10" i="11" s="1"/>
  <c r="S10" i="11"/>
  <c r="U10" i="11" s="1"/>
  <c r="W10" i="11" s="1"/>
  <c r="D13" i="11"/>
  <c r="C17" i="12"/>
  <c r="K16" i="12"/>
  <c r="B16" i="13" s="1"/>
  <c r="P13" i="11"/>
  <c r="R13" i="11"/>
  <c r="V11" i="11"/>
  <c r="AC12" i="11"/>
  <c r="Q13" i="11"/>
  <c r="AC13" i="11"/>
  <c r="S13" i="11"/>
  <c r="Q12" i="11"/>
  <c r="V13" i="11"/>
  <c r="W12" i="11"/>
  <c r="R12" i="11"/>
  <c r="U13" i="11"/>
  <c r="R11" i="11"/>
  <c r="U12" i="11"/>
  <c r="T13" i="11"/>
  <c r="AC11" i="11"/>
  <c r="U11" i="11"/>
  <c r="W11" i="11"/>
  <c r="S11" i="11"/>
  <c r="T11" i="11"/>
  <c r="P12" i="11"/>
  <c r="W13" i="11"/>
  <c r="T12" i="11"/>
  <c r="Q11" i="11"/>
  <c r="P11" i="11"/>
  <c r="S12" i="11"/>
  <c r="V12" i="11"/>
  <c r="C33" i="17" l="1"/>
  <c r="A34" i="17"/>
  <c r="C34" i="17" s="1"/>
  <c r="Q22" i="17"/>
  <c r="P22" i="17"/>
  <c r="Q26" i="17"/>
  <c r="R22" i="17"/>
  <c r="Q21" i="17"/>
  <c r="R21" i="17"/>
  <c r="P21" i="17"/>
  <c r="P18" i="17"/>
  <c r="R26" i="17"/>
  <c r="O26" i="17" s="1"/>
  <c r="V27" i="17" s="1"/>
  <c r="T16" i="17" s="1"/>
  <c r="P19" i="17"/>
  <c r="R18" i="17"/>
  <c r="A43" i="17"/>
  <c r="C43" i="17" s="1"/>
  <c r="C42" i="17"/>
  <c r="T12" i="12"/>
  <c r="N14" i="11" s="1"/>
  <c r="C19" i="17"/>
  <c r="A20" i="17"/>
  <c r="C20" i="17" s="1"/>
  <c r="R19" i="11"/>
  <c r="S19" i="11" s="1"/>
  <c r="K17" i="12"/>
  <c r="B17" i="13" s="1"/>
  <c r="C18" i="12"/>
  <c r="K18" i="12" l="1"/>
  <c r="B18" i="13" s="1"/>
  <c r="C19" i="12"/>
  <c r="T19" i="11"/>
  <c r="K19" i="12" l="1"/>
  <c r="B19" i="13" s="1"/>
  <c r="C20" i="12"/>
  <c r="U19" i="11"/>
  <c r="K20" i="12" l="1"/>
  <c r="B20" i="13" s="1"/>
  <c r="C21" i="12"/>
  <c r="V19" i="11"/>
  <c r="K21" i="12" l="1"/>
  <c r="B21" i="13" s="1"/>
  <c r="C22" i="12"/>
  <c r="W19" i="11"/>
  <c r="K22" i="12" l="1"/>
  <c r="B22" i="13" s="1"/>
  <c r="C23" i="12"/>
  <c r="K23" i="12" l="1"/>
  <c r="B23" i="13" s="1"/>
  <c r="C24" i="12"/>
  <c r="K24" i="12" l="1"/>
  <c r="B24" i="13" s="1"/>
  <c r="C25" i="12"/>
  <c r="C26" i="12" l="1"/>
  <c r="K25" i="12"/>
  <c r="B25" i="13" s="1"/>
  <c r="C27" i="12" l="1"/>
  <c r="K26" i="12"/>
  <c r="B26" i="13" s="1"/>
  <c r="C28" i="12" l="1"/>
  <c r="K27" i="12"/>
  <c r="B27" i="13" s="1"/>
  <c r="K28" i="12" l="1"/>
  <c r="B28" i="13" s="1"/>
  <c r="C29" i="12"/>
  <c r="C30" i="12" l="1"/>
  <c r="K30" i="12" s="1"/>
  <c r="B30" i="13" s="1"/>
  <c r="K29" i="12"/>
  <c r="B29" i="13" s="1"/>
  <c r="I13" i="12" l="1"/>
  <c r="H13" i="12"/>
  <c r="B13" i="12" l="1"/>
  <c r="B12" i="12" s="1"/>
  <c r="T13" i="12" l="1"/>
  <c r="K20" i="11" s="1"/>
  <c r="N18" i="11" s="1"/>
  <c r="U13" i="12" l="1"/>
  <c r="U5" i="12" s="1"/>
  <c r="Q20" i="11"/>
  <c r="Q17" i="11" s="1"/>
  <c r="AC20" i="11"/>
  <c r="AC17" i="11" s="1"/>
  <c r="S20" i="11"/>
  <c r="S17" i="11" s="1"/>
  <c r="W20" i="11"/>
  <c r="W17" i="11" s="1"/>
  <c r="P20" i="11"/>
  <c r="P17" i="11" s="1"/>
  <c r="T20" i="11"/>
  <c r="T17" i="11" s="1"/>
  <c r="U20" i="11"/>
  <c r="U17" i="11" s="1"/>
  <c r="R20" i="11"/>
  <c r="R17" i="11" s="1"/>
  <c r="V20" i="11"/>
  <c r="V17" i="11" s="1"/>
  <c r="R16" i="11" l="1"/>
  <c r="R15" i="11"/>
  <c r="R14" i="11" s="1"/>
  <c r="W16" i="11"/>
  <c r="W15" i="11"/>
  <c r="W14" i="11" s="1"/>
  <c r="AC16" i="11"/>
  <c r="AC15" i="11"/>
  <c r="AC14" i="11" s="1"/>
  <c r="U16" i="11"/>
  <c r="U15" i="11"/>
  <c r="U14" i="11" s="1"/>
  <c r="S16" i="11"/>
  <c r="S15" i="11"/>
  <c r="S14" i="11" s="1"/>
  <c r="T16" i="11"/>
  <c r="T15" i="11"/>
  <c r="T14" i="11" s="1"/>
  <c r="V15" i="11"/>
  <c r="V14" i="11" s="1"/>
  <c r="V16" i="11"/>
  <c r="P16" i="11"/>
  <c r="P15" i="11"/>
  <c r="P14" i="11" s="1"/>
  <c r="Q15" i="11"/>
  <c r="Q14" i="11" s="1"/>
  <c r="Q16" i="11"/>
  <c r="L8" i="11" l="1"/>
</calcChain>
</file>

<file path=xl/sharedStrings.xml><?xml version="1.0" encoding="utf-8"?>
<sst xmlns="http://schemas.openxmlformats.org/spreadsheetml/2006/main" count="455" uniqueCount="276">
  <si>
    <t>OBJETO</t>
  </si>
  <si>
    <t>2.2 Na Versão Excel 2007 ou superior, selecione na Faixa de Opções: Arquivo --&gt; Opções --&gt; Central de Confiabilidade --&gt; Configurações da Central de Confiabilidade --&gt; Configurações de Macro --&gt; Habilitar todas as Macros --&gt; Clique em OK --&gt; Feche e abra o excel novamente para utilizar a Planilha.</t>
  </si>
  <si>
    <t>PO - Planilha Orçamentária / PLQ - Planilha de Levantamento de Quantidades / CFF - Cronograma Físico Financeiro</t>
  </si>
  <si>
    <t>Nível</t>
  </si>
  <si>
    <t>Código</t>
  </si>
  <si>
    <t>BDI
(%)</t>
  </si>
  <si>
    <t>Preço Total
(R$)</t>
  </si>
  <si>
    <t>BDI 1</t>
  </si>
  <si>
    <t>BDI 2</t>
  </si>
  <si>
    <t>BDI 3</t>
  </si>
  <si>
    <t>BDI 4</t>
  </si>
  <si>
    <t>BDI 5</t>
  </si>
  <si>
    <t>DESCRIÇÃO DO LOTE</t>
  </si>
  <si>
    <t>DESONERAÇÃO</t>
  </si>
  <si>
    <t>LOCALIDADE DO SINAPI</t>
  </si>
  <si>
    <t>DATA INÍCIO</t>
  </si>
  <si>
    <t>DATA BASE</t>
  </si>
  <si>
    <t>Título:</t>
  </si>
  <si>
    <t>Exibir o 2° Quadro de Assinatura?</t>
  </si>
  <si>
    <t>CRONOGRAMA GLOBAL DO LOTE</t>
  </si>
  <si>
    <t>Acumulado (R$)</t>
  </si>
  <si>
    <t>Observações:</t>
  </si>
  <si>
    <t xml:space="preserve">    CFF -</t>
  </si>
  <si>
    <r>
      <t xml:space="preserve">2. Para funcionamento pleno desse arquivo, a </t>
    </r>
    <r>
      <rPr>
        <b/>
        <sz val="10"/>
        <rFont val="Arial"/>
        <family val="2"/>
      </rPr>
      <t>Segurança de Macros do Excel deve ser habilitada</t>
    </r>
    <r>
      <rPr>
        <sz val="10"/>
        <rFont val="Arial"/>
        <family val="2"/>
      </rPr>
      <t>.</t>
    </r>
  </si>
  <si>
    <r>
      <t xml:space="preserve">3. O Preenchimento deve ser feito somente nas </t>
    </r>
    <r>
      <rPr>
        <b/>
        <sz val="10"/>
        <rFont val="Arial"/>
        <family val="2"/>
      </rPr>
      <t>células em amarelo</t>
    </r>
    <r>
      <rPr>
        <sz val="10"/>
        <rFont val="Arial"/>
        <family val="2"/>
      </rPr>
      <t>. As outras células são de preenchimento Automático.</t>
    </r>
  </si>
  <si>
    <t>MIN</t>
  </si>
  <si>
    <t>MED</t>
  </si>
  <si>
    <t>MAX</t>
  </si>
  <si>
    <t>Construção e Reforma de Edifícios</t>
  </si>
  <si>
    <t>AC</t>
  </si>
  <si>
    <t>SG</t>
  </si>
  <si>
    <t>R</t>
  </si>
  <si>
    <t>DF</t>
  </si>
  <si>
    <t>BDI PAD</t>
  </si>
  <si>
    <t>Construção de Praças Urbanas, Rodovias, Ferrovias e recapeamento e pavimentação de vias urbanas</t>
  </si>
  <si>
    <t>TIPO DE OBRA DO EMPREENDIMENTO</t>
  </si>
  <si>
    <t>Conforme legislação tributária municipal, definir estimativa de percentual da base de cálculo para o ISS:</t>
  </si>
  <si>
    <t>Construção de Redes de Abastecimento de Água, Coleta de Esgoto</t>
  </si>
  <si>
    <t>Sobre a base de cálculo, definir a respectiva alíquota do ISS (entre 2% e 5%):</t>
  </si>
  <si>
    <t>Itens</t>
  </si>
  <si>
    <t>Siglas</t>
  </si>
  <si>
    <t>% Adotado</t>
  </si>
  <si>
    <t>Situação</t>
  </si>
  <si>
    <t>1º Quartil</t>
  </si>
  <si>
    <t>Médio</t>
  </si>
  <si>
    <t>3º Quartil</t>
  </si>
  <si>
    <t>-</t>
  </si>
  <si>
    <t>Construção e Manutenção de Estações e Redes de Distribuição de Energia Elétrica</t>
  </si>
  <si>
    <t>Tributos (impostos COFINS 3%, e  PIS 0,65%)</t>
  </si>
  <si>
    <t>CP</t>
  </si>
  <si>
    <t>Tributos (ISS, variável de acordo com o município)</t>
  </si>
  <si>
    <t>ISS</t>
  </si>
  <si>
    <t>CPRB</t>
  </si>
  <si>
    <t>BDI SEM desoneração
(Fórmula Acórdão TCU)</t>
  </si>
  <si>
    <t>Obras Portuárias, Marítimas e Fluviais</t>
  </si>
  <si>
    <t>BDI COM desoneração</t>
  </si>
  <si>
    <t>BDI DES</t>
  </si>
  <si>
    <t>Responsável Técnico</t>
  </si>
  <si>
    <t>Responsável Tomador</t>
  </si>
  <si>
    <t>Estudos e Projetos, Planos e Gerenciamento e outros correlatos</t>
  </si>
  <si>
    <t>Cargo:</t>
  </si>
  <si>
    <t>Os valores de BDI foram calculados com o emprego da fórmula:</t>
  </si>
  <si>
    <t>Encargos sociais:</t>
  </si>
  <si>
    <t>PLQ -</t>
  </si>
  <si>
    <t>PLANILHA DE LEVANTAMENTO DE QUANTIDADES</t>
  </si>
  <si>
    <t>São Paulo / SP</t>
  </si>
  <si>
    <t>Campo Grande / MS</t>
  </si>
  <si>
    <t>Cuiabá / MT</t>
  </si>
  <si>
    <t>Curitiba / PR</t>
  </si>
  <si>
    <t>Florianópolis / SC</t>
  </si>
  <si>
    <t>Fortaleza / CE</t>
  </si>
  <si>
    <t>Goiânia / GO</t>
  </si>
  <si>
    <t>João Pessoa / PB</t>
  </si>
  <si>
    <t>Macapá / AP</t>
  </si>
  <si>
    <t>Maceió / AL</t>
  </si>
  <si>
    <t>Manaus / AM</t>
  </si>
  <si>
    <t>Natal / RN</t>
  </si>
  <si>
    <t>Palmas / TO</t>
  </si>
  <si>
    <t>Porto Alegre / RS</t>
  </si>
  <si>
    <t>Porto Velho / RO</t>
  </si>
  <si>
    <t>Recife / PE</t>
  </si>
  <si>
    <t>Rio Branco / AC</t>
  </si>
  <si>
    <t>Rio de Janeiro / RJ</t>
  </si>
  <si>
    <t>Salvador / BA</t>
  </si>
  <si>
    <t>São Luís / MA</t>
  </si>
  <si>
    <t>Teresina / PI</t>
  </si>
  <si>
    <t>Vitória / ES</t>
  </si>
  <si>
    <t>CTEF n.º</t>
  </si>
  <si>
    <t>REGIME DE EXECUÇÃO</t>
  </si>
  <si>
    <t>DATA ASSINATURA</t>
  </si>
  <si>
    <t>VIGÊNCIA</t>
  </si>
  <si>
    <t>DESON.</t>
  </si>
  <si>
    <t>ACOMP.</t>
  </si>
  <si>
    <t>OBJETO CTEF</t>
  </si>
  <si>
    <t>Tarefa</t>
  </si>
  <si>
    <t>Contratação Integrada</t>
  </si>
  <si>
    <t>Não se aplica</t>
  </si>
  <si>
    <t>BM</t>
  </si>
  <si>
    <t>PLE</t>
  </si>
  <si>
    <t>Meta</t>
  </si>
  <si>
    <t>Nível 2</t>
  </si>
  <si>
    <t>Nível 3</t>
  </si>
  <si>
    <t>Nível 4</t>
  </si>
  <si>
    <t>Serviço</t>
  </si>
  <si>
    <t>SIM</t>
  </si>
  <si>
    <t>K1</t>
  </si>
  <si>
    <t>K2</t>
  </si>
  <si>
    <t/>
  </si>
  <si>
    <t>K3</t>
  </si>
  <si>
    <t xml:space="preserve"> - 1</t>
  </si>
  <si>
    <t>N1</t>
  </si>
  <si>
    <t>N2</t>
  </si>
  <si>
    <t xml:space="preserve">NOME DA EMPRESA </t>
  </si>
  <si>
    <t>Empreitada Preço Global</t>
  </si>
  <si>
    <t>Empreitada Preço Unitário</t>
  </si>
  <si>
    <t>Empreitada Integral</t>
  </si>
  <si>
    <t>CRONOGRAMA FÍSICO-FINANCEIRO</t>
  </si>
  <si>
    <t>Tributos (Contribuição Previdenciária sobre a Receita Bruta - 0% ou 4,5% - Desoneração)</t>
  </si>
  <si>
    <t>Anexo: Relatório Técnico Circunstanciado justificando a adoção do percentual de cada parcela do BDI.</t>
  </si>
  <si>
    <t>pedir anexo</t>
  </si>
  <si>
    <t>anexo apresentado</t>
  </si>
  <si>
    <t>Local</t>
  </si>
  <si>
    <t>Data</t>
  </si>
  <si>
    <t>Concatenação Fonte-Código</t>
  </si>
  <si>
    <t>Altura</t>
  </si>
  <si>
    <t>Czero</t>
  </si>
  <si>
    <t>Cnível</t>
  </si>
  <si>
    <t>Nmax</t>
  </si>
  <si>
    <t>N3</t>
  </si>
  <si>
    <t>N4</t>
  </si>
  <si>
    <t>Último Nível</t>
  </si>
  <si>
    <t>BancoRef</t>
  </si>
  <si>
    <t>(Selecione uma Localidade)</t>
  </si>
  <si>
    <t>Aracaju / SE</t>
  </si>
  <si>
    <t>Belém / PA</t>
  </si>
  <si>
    <t>Belo Horizonte / MG</t>
  </si>
  <si>
    <t>Boa Vista / RR</t>
  </si>
  <si>
    <t>Brasília / DF</t>
  </si>
  <si>
    <t>Fornecimento de Materiais e Equipamentos (aquisição indireta - em conjunto com licitação de obras)</t>
  </si>
  <si>
    <t>Fornecimento de Materiais e Equipamentos (aquisição direta)</t>
  </si>
  <si>
    <t>Valores Totais (R$)</t>
  </si>
  <si>
    <t>Nome:</t>
  </si>
  <si>
    <t>Para elaboração deste orçamento, foram utilizados os encargos sociais do SINAPI para a Unidade da Federação indicada.</t>
  </si>
  <si>
    <t>Descrição</t>
  </si>
  <si>
    <t>Parcela (%)</t>
  </si>
  <si>
    <t>Parcela (R$)</t>
  </si>
  <si>
    <t>Acumulado (%)</t>
  </si>
  <si>
    <t>Fonte</t>
  </si>
  <si>
    <t>Item</t>
  </si>
  <si>
    <t>Quantidade</t>
  </si>
  <si>
    <t>Unidade</t>
  </si>
  <si>
    <t>Nº TC/CR</t>
  </si>
  <si>
    <t>Preço Unitário (R$)</t>
  </si>
  <si>
    <t>n1</t>
  </si>
  <si>
    <t>n2</t>
  </si>
  <si>
    <t>n3</t>
  </si>
  <si>
    <t>n4</t>
  </si>
  <si>
    <t>n5</t>
  </si>
  <si>
    <t>LOTE</t>
  </si>
  <si>
    <t>Unid.</t>
  </si>
  <si>
    <t>Erro de Dados</t>
  </si>
  <si>
    <t>Descrição das Metas / Macrosserviços</t>
  </si>
  <si>
    <t>Lista Crono</t>
  </si>
  <si>
    <t>4.1.2. Preencha no quadro abaixo as informações sobre o orçamento licitado:</t>
  </si>
  <si>
    <t>NOME DA EMPRESA / CNPJ:</t>
  </si>
  <si>
    <t>L</t>
  </si>
  <si>
    <t>Grau de Sigilo</t>
  </si>
  <si>
    <t>#PUBLICO</t>
  </si>
  <si>
    <t>PO - PLANILHA ORÇAMENTÁRIA</t>
  </si>
  <si>
    <t>INSTRUÇÕES DE USO E PREENCHIMENTO</t>
  </si>
  <si>
    <t>2.1  Na Versão Excel 2003, selecione na Faixa de Opções: Ferramentas --&gt; Macro --&gt; Segurança --&gt; Na aba Nível de Segurança selecione a Opção "Baixo" --&gt; Clique em OK --&gt; Feche e abra o Excel novamente para utilizar a Planilha.</t>
  </si>
  <si>
    <t>GESTOR</t>
  </si>
  <si>
    <t>PROGRAMA</t>
  </si>
  <si>
    <t>AÇÃO / MODALIDADE</t>
  </si>
  <si>
    <t>PROPONENTE / TOMADOR</t>
  </si>
  <si>
    <t>MUNICÍPIO / UF</t>
  </si>
  <si>
    <t>LOCALIDADE / ENDEREÇO</t>
  </si>
  <si>
    <t>Nível Máx Crono</t>
  </si>
  <si>
    <t>Nº OPERAÇÃO</t>
  </si>
  <si>
    <t>VTOTAL SOMA</t>
  </si>
  <si>
    <r>
      <t xml:space="preserve">1. Este documento somente pode ser utilizado nas versões do </t>
    </r>
    <r>
      <rPr>
        <b/>
        <sz val="10"/>
        <rFont val="Arial"/>
        <family val="2"/>
      </rPr>
      <t>Excel 2003 ou superior</t>
    </r>
    <r>
      <rPr>
        <sz val="10"/>
        <rFont val="Arial"/>
        <family val="2"/>
      </rPr>
      <t xml:space="preserve">. Não deve ser utilizado versões do BROffice. O Documento deve ser salvo </t>
    </r>
    <r>
      <rPr>
        <b/>
        <sz val="10"/>
        <rFont val="Arial"/>
        <family val="2"/>
      </rPr>
      <t>SOMENTE</t>
    </r>
    <r>
      <rPr>
        <sz val="10"/>
        <rFont val="Arial"/>
        <family val="2"/>
      </rPr>
      <t xml:space="preserve"> em extensão habilitada para macros </t>
    </r>
    <r>
      <rPr>
        <b/>
        <sz val="10"/>
        <rFont val="Arial"/>
        <family val="2"/>
      </rPr>
      <t xml:space="preserve">(.xls ou .xlsm). </t>
    </r>
    <r>
      <rPr>
        <sz val="10"/>
        <rFont val="Arial"/>
        <family val="2"/>
      </rPr>
      <t xml:space="preserve">Se o documento for salvo na extensão </t>
    </r>
    <r>
      <rPr>
        <b/>
        <sz val="10"/>
        <rFont val="Arial"/>
        <family val="2"/>
      </rPr>
      <t>.xlsx</t>
    </r>
    <r>
      <rPr>
        <sz val="10"/>
        <rFont val="Arial"/>
        <family val="2"/>
      </rPr>
      <t xml:space="preserve">, o arquivo será </t>
    </r>
    <r>
      <rPr>
        <b/>
        <sz val="10"/>
        <rFont val="Arial"/>
        <family val="2"/>
      </rPr>
      <t>INUTILIZADO.</t>
    </r>
    <r>
      <rPr>
        <sz val="10"/>
        <rFont val="Arial"/>
        <family val="2"/>
      </rPr>
      <t xml:space="preserve"> </t>
    </r>
  </si>
  <si>
    <t>APELIDO DO EMPREENDIMENTO</t>
  </si>
  <si>
    <t>Arredondamento</t>
  </si>
  <si>
    <t>Custo Unitáro</t>
  </si>
  <si>
    <t>BDI</t>
  </si>
  <si>
    <t>Preço Unitário</t>
  </si>
  <si>
    <t>Preço Total</t>
  </si>
  <si>
    <t>4. Preferências de Elaboração do Orçamento</t>
  </si>
  <si>
    <t>4.1. Preenchimento de Quantidades</t>
  </si>
  <si>
    <t>ERRO GERAL</t>
  </si>
  <si>
    <t>5. Ordem de Preenchimento</t>
  </si>
  <si>
    <t>5.1. na Aba DADOS</t>
  </si>
  <si>
    <t>5.1.1. Preencha no Quadro abaixo os Dados do TC/CR:</t>
  </si>
  <si>
    <t>5.1.2. Preencha no quadro abaixo as informações sobre o orçamento:</t>
  </si>
  <si>
    <t>5.1.3. Preencha a data de Início da Obra:</t>
  </si>
  <si>
    <t>5.1.4. Preencha no(s) Quadro(s) abaixo os Dados do(s) Responsável(is) Técnico(s) pela elaboração do Orçamento:</t>
  </si>
  <si>
    <t>5.2. Legenda das Abas</t>
  </si>
  <si>
    <t>5.2.1.  LARANJA: Aba DADOS. Preenchimento Obrigatório. Impressão Dispensada.</t>
  </si>
  <si>
    <t>5.2.2.  AMARELO: Abas BDI, PO, PLQ e CFF. Preenchimento e Impressão Obrigatórias. O preenchimento da Aba BDI é dispensada para os casos de Aquisição Direta de Materiais e Equipamentos. A Impressão da Aba PLQ pode ser dispensada para casos de Frente de Obra Única.</t>
  </si>
  <si>
    <t>5.3. na Aba BDI (Bonificações e Despesas Indiretas):</t>
  </si>
  <si>
    <t>5.3.1. Escolha o tipo de empreendimento.</t>
  </si>
  <si>
    <t>5.3.2. Escolha se o BDI será do tipo desonerado ou não (aba DADOS)</t>
  </si>
  <si>
    <t>5.3.3. Informe a base de cálculo do ISS (0 a 100%).</t>
  </si>
  <si>
    <t>5.3.4. Informe a alíquota do ISS (Normalmente de 2 a 5%).</t>
  </si>
  <si>
    <t>5.3.5. Defina na tabela os percentuais a serem adotados para cada item que compõe o BDI nos campos em amarelo.</t>
  </si>
  <si>
    <t>5.3.6. Preencha o campo observações se necessário (recomendado para os orçamentos que utilizam mais de um BDI).</t>
  </si>
  <si>
    <t>5.4. na Aba PO (Planilha Orçamentária):</t>
  </si>
  <si>
    <t>5.4.1. Primeiramente, selecione os níveis de cada item do orçamento na coluna NÍVEL.</t>
  </si>
  <si>
    <t>5.4.1.1: O nível de "Serviço" serve tanto para serviços ou insumos (mão-de-obra / material / equipamento / veículo / máquina / ferramenta / etc). Um "nível 2/3/4" é um título (é preenchida apenas a coluna descrição) utilizado para organizar melhor a planilha orçamentária e engloba (agrupa) serviços e agrupadores de nível inferior.</t>
  </si>
  <si>
    <t>5.4.2. Após a seleção dos níveis, preencha, para cada serviço, as informações sobre a Fonte de Referência, (SINAPI, SICRO, SIURB, etc) e o respectivo Código de Referência.</t>
  </si>
  <si>
    <t>5.4.3. Esta planilha é compatível com o arquivo REFERÊNCIA distribuído pela CAIXA. Caso o arquivo REFERÊNCIA esteja aberto, será possível buscar um código através do botão "Buscar Código". Desta forma a descrição dos serviços será preenchida automaticamente (podendo ser substituída). Caso contrário, seu preenchimento deve ser manual.</t>
  </si>
  <si>
    <t>5.4.3.1. As descrições e unidades preenchidas automaticamente ficarão vinculadas ao arquivo REFERÊNCIA até que se use o botão "Fixar Descrições", que quebra a fórmula e transforma as descrições em texto.</t>
  </si>
  <si>
    <t>5.4.4. Preencher o custo unitário do serviço/insumo na Coluna CUSTO UNITÁRIO. ATENÇÃO: o custo unitário adotado deve ser menor ou igual ao contido na tabela de referência ou mediana das cotações de mercado.</t>
  </si>
  <si>
    <t>5.4.5. Indicar o BDI adotado para cada serviço/insumo na Coluna BDI. Preferencialmente selecione uma das opções da lista suspensa que aparecerá na célula, esta lista contém os 05 BDIs que podem ser preenchidos na Aba BDI (conforme item 5.2 das instruções). Caso seja necessária a adoção de mais de 05 valores diferentes de BDI, digite o percentual diretamente na célula.</t>
  </si>
  <si>
    <t>5.4.6. Conforme selecionado no item 4.1. desta Aba, a Coluna Quantidade pode ser preenchida diretamente na PO, ou representar a soma das quantidades de cada Frente de Obra, informadas na aba PLQ (Planilha de Levantamento de Quantitativos).</t>
  </si>
  <si>
    <t>5.4.7. OBSERVAÇÃO: As demais colunas (Item / Quantidade / Preço Unitário / Preço Total) são de preenchimento automático. Não tente preenche-las ou alterá-las na Aba PO.</t>
  </si>
  <si>
    <t>5.4.8. Se for necessário acrescentar ou excluir linhas da Planilha Orçamentária, utilize o Botão EDITAR PLANILHA e selecione as opções no quadro.
ATENÇÃO: quanto maior o número de linhas mais lento será o processamento dos dados, então acrescente apenas o número necessário ou um pouco a mais.</t>
  </si>
  <si>
    <t>5.4.8.1. Evite deixar linhas em branco no corpo da Planilha Orçamentária.</t>
  </si>
  <si>
    <t>5.4.9. Caso deseje importar os dados de outro arquivo utilize apenas a opção COLAR ESPECIAL ==&gt; VALORES.</t>
  </si>
  <si>
    <t>5.4.10. Clique no Botão LICITAR / REPROGRAMAR para preencher o Orçamento Licitado ou Reprogramado.</t>
  </si>
  <si>
    <t>5.5. na Aba PLQ (Planilha de Levantamento de Quantitativos):</t>
  </si>
  <si>
    <t>5.5.1. Preencha primeiramente as Frentes de Obra.</t>
  </si>
  <si>
    <t xml:space="preserve">5.5.1.1. Exemplos de Frentes de Obra (Rua A trecho 01 / Rua A trecho 02 / Rua B ; UH 01 / UH 02 / UH 03). </t>
  </si>
  <si>
    <t>5.5.2. Preencha as quantidades dos serviços por frente de obra. A soma das quantidades de todas as frentes de um determinado serviço será a quantidade exibida na Planilha Orçamentária.</t>
  </si>
  <si>
    <t>5.5.3. Caso deseje incluir ou excluir frentes, utilize os botões ADICIONAR e EXCLUIR.</t>
  </si>
  <si>
    <t>5.6. na Aba CFF (Cronograma Físico-Financeiro):</t>
  </si>
  <si>
    <t>5.6.1. Preencha a data de início da obra na aba Dados.</t>
  </si>
  <si>
    <t>5.6.2. Preencha as porcentagens previstas por parcela para cada meta ou macrosserviço.</t>
  </si>
  <si>
    <t>5.6.3. Para atualizar o Cronograma conforme o Orçamento e incluir ou excluir parcelas, utilize o botão EDITAR / ATUALIZAR CRONOGRAMA.</t>
  </si>
  <si>
    <t>v008</t>
  </si>
  <si>
    <t>RODEIO SC</t>
  </si>
  <si>
    <t>PREFEITURA DE RODEIO</t>
  </si>
  <si>
    <t>Jonas Ludovico Zermiani</t>
  </si>
  <si>
    <t>Engº Civil</t>
  </si>
  <si>
    <t>126.070-4</t>
  </si>
  <si>
    <t>MINISTERIO DAS CIDADES</t>
  </si>
  <si>
    <t>SINAPI</t>
  </si>
  <si>
    <t>74005/001</t>
  </si>
  <si>
    <t>Compactação mecânica, sem controle do gc (c/compactador placa 400 kg)</t>
  </si>
  <si>
    <t>(m³)</t>
  </si>
  <si>
    <t>Pavimentação em paver cor natural, espessura 6cm</t>
  </si>
  <si>
    <t>(m²)</t>
  </si>
  <si>
    <t>Pavimentação em paver podotátil (vermelho), espessura 6cm</t>
  </si>
  <si>
    <t>Meio-fio de concreto pre-moldado 15x30x100 cm Guia de cotenção lateral</t>
  </si>
  <si>
    <t>(m)</t>
  </si>
  <si>
    <t>SICRO</t>
  </si>
  <si>
    <t xml:space="preserve">Limpeza de caixa coletora </t>
  </si>
  <si>
    <t>Drenagem existente</t>
  </si>
  <si>
    <t>Fornecimento e implantação de placa de regulamentação em aço, R1 lado 0,248 m</t>
  </si>
  <si>
    <t>(und)</t>
  </si>
  <si>
    <t>Fornecimento e implantação de placa de regulamentação em aço, R1 lado 0,414 m</t>
  </si>
  <si>
    <t>Fornecimento e implantação de suporte metálico  para placa R1  lado de 0,248 m</t>
  </si>
  <si>
    <t>Fornecimento e implantação de suporte metálico  para placa R1  lado de 0,414 m</t>
  </si>
  <si>
    <t>Pintura de faixa c/termoplástico (espessura 1,5mm)</t>
  </si>
  <si>
    <t>Não</t>
  </si>
  <si>
    <t>PLANEJAMENTO URBANO</t>
  </si>
  <si>
    <t>PAVIMENTAÇÃO COM CALÇADA</t>
  </si>
  <si>
    <t>PAVIMENTAÇÃO COM CALÇADA RUA GRACIOSO CONZATTI CENTRO RODEIO</t>
  </si>
  <si>
    <t>RUA GRACIOSO CONZATTI, CENTRO</t>
  </si>
  <si>
    <t>RUA GRACIOSO CONZATTI</t>
  </si>
  <si>
    <t>828702/2016</t>
  </si>
  <si>
    <t>RUA GRACIOSO ONZATTI</t>
  </si>
  <si>
    <t>Ser. Topográfico em controle geométrico para acompanhamento de obra</t>
  </si>
  <si>
    <t>73822/002</t>
  </si>
  <si>
    <t>Limpeza mecanizada de terreno com remoção de camada vegetal</t>
  </si>
  <si>
    <t>Regularização e compactação do sub-leito</t>
  </si>
  <si>
    <t>Pav. Em blco sextavado, esp. 8cm, ass. Sobre colchão de areia 8cm</t>
  </si>
  <si>
    <t>Meio fio de concreto pre-moldado 15x30x100cm</t>
  </si>
  <si>
    <t>Terraplenagem</t>
  </si>
  <si>
    <t>Pavimentação (pista)</t>
  </si>
  <si>
    <t>Pavimentação (passeio)</t>
  </si>
  <si>
    <t>Silanização</t>
  </si>
  <si>
    <t>74205/001</t>
  </si>
  <si>
    <t>Escavação do subleito</t>
  </si>
  <si>
    <t>6859271-7</t>
  </si>
  <si>
    <t>Forn. E implantação placa regulamentação aço d=0,60m pelicula retrorefletiva tipo I e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</si>
</sst>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164" formatCode="_(* #,##0.00_);_(* \(#,##0.00\);_(* &quot;-&quot;??_);_(@_)"/>
    <numFmt numFmtId="165" formatCode="_(&quot;R$&quot;* #,##0.00_);_(&quot;R$&quot;* \(#,##0.00\);_(&quot;R$&quot;* &quot;-&quot;??_);_(@_)"/>
    <numFmt numFmtId="166" formatCode="dd/mm/yy;@"/>
    <numFmt numFmtId="167" formatCode="[$-416]mmm\-yy;@"/>
    <numFmt numFmtId="168" formatCode="[$-F800]dddd\,\ mmmm\ dd\,\ yyyy"/>
    <numFmt numFmtId="169" formatCode="_(&quot;R$ &quot;* #,##0.00_);_(&quot;R$ &quot;* \(#,##0.00\);_(&quot;R$ &quot;* &quot;-&quot;??_);_(@_)"/>
    <numFmt numFmtId="170" formatCode="dd\ &quot;de&quot;\ mmmm\ &quot;de&quot;\ yyyy"/>
    <numFmt numFmtId="171" formatCode="General;General;"/>
  </numFmts>
  <fonts count="58" x14ac:knownFonts="1">
    <font>
      <sz val="10"/>
      <name val="Arial"/>
    </font>
    <font>
      <sz val="10"/>
      <name val="Arial"/>
      <family val="2"/>
    </font>
    <fon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0"/>
      <name val="Arial"/>
      <family val="2"/>
    </font>
    <font>
      <b/>
      <sz val="10"/>
      <color indexed="10"/>
      <name val="Arial"/>
      <family val="2"/>
    </font>
    <font>
      <sz val="14"/>
      <color indexed="9"/>
      <name val="Arial Black"/>
      <family val="2"/>
    </font>
    <font>
      <sz val="8"/>
      <name val="Arial"/>
      <family val="2"/>
    </font>
    <font>
      <b/>
      <sz val="11"/>
      <name val="Arial"/>
      <family val="2"/>
    </font>
    <font>
      <b/>
      <sz val="10"/>
      <color indexed="8"/>
      <name val="Arial"/>
      <family val="2"/>
    </font>
    <font>
      <sz val="8"/>
      <color indexed="9"/>
      <name val="Arial"/>
      <family val="2"/>
    </font>
    <font>
      <sz val="10"/>
      <color indexed="9"/>
      <name val="Arial"/>
      <family val="2"/>
    </font>
    <font>
      <sz val="11"/>
      <name val="Arial"/>
      <family val="2"/>
    </font>
    <font>
      <b/>
      <sz val="10"/>
      <color indexed="12"/>
      <name val="Arial"/>
      <family val="2"/>
    </font>
    <font>
      <b/>
      <u/>
      <sz val="15"/>
      <name val="Arial"/>
      <family val="2"/>
    </font>
    <font>
      <b/>
      <sz val="11"/>
      <color indexed="12"/>
      <name val="Arial"/>
      <family val="2"/>
    </font>
    <font>
      <u/>
      <sz val="10"/>
      <name val="Arial"/>
      <family val="2"/>
    </font>
    <font>
      <sz val="12"/>
      <name val="Arial"/>
      <family val="2"/>
    </font>
    <font>
      <sz val="14"/>
      <color indexed="9"/>
      <name val="Arial"/>
      <family val="2"/>
    </font>
    <font>
      <sz val="10"/>
      <name val="Arial"/>
      <family val="2"/>
    </font>
    <font>
      <b/>
      <sz val="9"/>
      <name val="Arial"/>
      <family val="2"/>
    </font>
    <font>
      <sz val="11"/>
      <color indexed="9"/>
      <name val="Arial"/>
      <family val="2"/>
    </font>
    <font>
      <b/>
      <sz val="10"/>
      <color indexed="23"/>
      <name val="Arial"/>
      <family val="2"/>
    </font>
    <font>
      <i/>
      <sz val="12"/>
      <name val="Calibri"/>
      <family val="2"/>
    </font>
    <font>
      <i/>
      <u/>
      <sz val="12"/>
      <name val="Calibri"/>
      <family val="2"/>
    </font>
    <font>
      <sz val="8"/>
      <name val="Arial"/>
      <family val="2"/>
    </font>
    <font>
      <b/>
      <sz val="18"/>
      <name val="Arial"/>
      <family val="2"/>
    </font>
    <font>
      <sz val="10.5"/>
      <name val="Arial"/>
      <family val="2"/>
    </font>
    <font>
      <b/>
      <sz val="12"/>
      <color indexed="10"/>
      <name val="Arial"/>
      <family val="2"/>
    </font>
    <font>
      <b/>
      <sz val="20"/>
      <color indexed="10"/>
      <name val="Arial"/>
      <family val="2"/>
    </font>
    <font>
      <sz val="8"/>
      <name val="Arial"/>
      <family val="2"/>
    </font>
    <font>
      <sz val="11"/>
      <name val="Arial"/>
      <family val="2"/>
    </font>
    <font>
      <sz val="10"/>
      <color indexed="13"/>
      <name val="Arial"/>
      <family val="2"/>
    </font>
    <font>
      <b/>
      <sz val="10"/>
      <color indexed="13"/>
      <name val="Arial"/>
      <family val="2"/>
    </font>
    <font>
      <b/>
      <sz val="10"/>
      <color indexed="13"/>
      <name val="Arial"/>
      <family val="2"/>
    </font>
    <font>
      <sz val="8"/>
      <color rgb="FF000000"/>
      <name val="Segoe UI"/>
      <family val="2"/>
    </font>
    <font>
      <sz val="8"/>
      <color theme="1"/>
      <name val="Tahoma"/>
      <family val="2"/>
    </font>
    <font>
      <sz val="10"/>
      <color theme="1"/>
      <name val="Tahoma"/>
      <family val="2"/>
    </font>
    <font>
      <sz val="10"/>
      <color theme="1"/>
      <name val="Arial"/>
      <family val="2"/>
    </font>
    <font>
      <sz val="8"/>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indexed="47"/>
        <bgColor indexed="64"/>
      </patternFill>
    </fill>
    <fill>
      <patternFill patternType="solid">
        <fgColor rgb="FFFFFF99"/>
        <bgColor indexed="64"/>
      </patternFill>
    </fill>
    <fill>
      <patternFill patternType="solid">
        <fgColor theme="0"/>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s>
  <cellStyleXfs count="8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0" fillId="3"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8" fillId="0" borderId="3" applyNumberFormat="0" applyFill="0" applyAlignment="0" applyProtection="0"/>
    <xf numFmtId="0" fontId="7" fillId="21" borderId="2" applyNumberFormat="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9" fillId="7" borderId="1" applyNumberFormat="0" applyAlignment="0" applyProtection="0"/>
    <xf numFmtId="0" fontId="3" fillId="0" borderId="0"/>
    <xf numFmtId="0" fontId="14" fillId="0" borderId="0" applyNumberFormat="0" applyFill="0" applyBorder="0" applyAlignment="0" applyProtection="0"/>
    <xf numFmtId="0" fontId="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0" fillId="3" borderId="0" applyNumberFormat="0" applyBorder="0" applyAlignment="0" applyProtection="0"/>
    <xf numFmtId="0" fontId="9" fillId="7" borderId="1" applyNumberFormat="0" applyAlignment="0" applyProtection="0"/>
    <xf numFmtId="0" fontId="8" fillId="0" borderId="3" applyNumberFormat="0" applyFill="0" applyAlignment="0" applyProtection="0"/>
    <xf numFmtId="165" fontId="1" fillId="0" borderId="0" applyFont="0" applyFill="0" applyBorder="0" applyAlignment="0" applyProtection="0"/>
    <xf numFmtId="169" fontId="1" fillId="0" borderId="0" applyFont="0" applyFill="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0" borderId="0"/>
    <xf numFmtId="0" fontId="2" fillId="0" borderId="0"/>
    <xf numFmtId="0" fontId="1" fillId="23" borderId="7" applyNumberFormat="0" applyFont="0" applyAlignment="0" applyProtection="0"/>
    <xf numFmtId="0" fontId="1" fillId="23" borderId="7" applyNumberFormat="0" applyFont="0" applyAlignment="0" applyProtection="0"/>
    <xf numFmtId="0" fontId="12" fillId="20" borderId="8" applyNumberFormat="0" applyAlignment="0" applyProtection="0"/>
    <xf numFmtId="9" fontId="1" fillId="0" borderId="0" applyFont="0" applyFill="0" applyBorder="0" applyAlignment="0" applyProtection="0"/>
    <xf numFmtId="0" fontId="12" fillId="20"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402">
    <xf numFmtId="0" fontId="0" fillId="0" borderId="0" xfId="0"/>
    <xf numFmtId="0" fontId="0" fillId="0" borderId="0" xfId="0" applyProtection="1"/>
    <xf numFmtId="0" fontId="0" fillId="0" borderId="0" xfId="0" applyFill="1" applyBorder="1" applyProtection="1"/>
    <xf numFmtId="0" fontId="0" fillId="0" borderId="0" xfId="0" applyBorder="1" applyProtection="1"/>
    <xf numFmtId="0" fontId="1" fillId="0" borderId="0" xfId="0" applyFont="1"/>
    <xf numFmtId="0" fontId="20" fillId="0" borderId="0" xfId="0" applyFont="1"/>
    <xf numFmtId="0" fontId="22" fillId="0" borderId="0" xfId="0" applyFont="1" applyAlignment="1">
      <alignment horizontal="center"/>
    </xf>
    <xf numFmtId="0" fontId="1" fillId="0" borderId="0" xfId="0" applyFont="1" applyAlignment="1" applyProtection="1">
      <alignment horizontal="center"/>
    </xf>
    <xf numFmtId="0" fontId="0" fillId="0" borderId="0" xfId="0" applyAlignment="1" applyProtection="1">
      <alignment horizontal="left"/>
    </xf>
    <xf numFmtId="0" fontId="1" fillId="0" borderId="0" xfId="0" applyFont="1" applyAlignment="1">
      <alignment horizontal="center"/>
    </xf>
    <xf numFmtId="49" fontId="22" fillId="24" borderId="10" xfId="0" applyNumberFormat="1" applyFont="1" applyFill="1" applyBorder="1" applyAlignment="1" applyProtection="1">
      <alignment horizontal="center" vertical="center"/>
    </xf>
    <xf numFmtId="164" fontId="22" fillId="24" borderId="10" xfId="87" applyNumberFormat="1" applyFont="1" applyFill="1" applyBorder="1" applyAlignment="1" applyProtection="1">
      <alignment horizontal="center" vertical="center"/>
    </xf>
    <xf numFmtId="10" fontId="22" fillId="24" borderId="10" xfId="76" applyNumberFormat="1" applyFont="1" applyFill="1" applyBorder="1" applyAlignment="1" applyProtection="1">
      <alignment horizontal="center" vertical="center"/>
    </xf>
    <xf numFmtId="0" fontId="23" fillId="0" borderId="0" xfId="0" applyFont="1"/>
    <xf numFmtId="0" fontId="1" fillId="0" borderId="0" xfId="0" applyFont="1" applyAlignment="1">
      <alignment horizontal="left"/>
    </xf>
    <xf numFmtId="0" fontId="1" fillId="0" borderId="0" xfId="0" applyFont="1" applyAlignment="1">
      <alignment horizontal="center" vertical="center"/>
    </xf>
    <xf numFmtId="164" fontId="1" fillId="0" borderId="0" xfId="87" applyFont="1"/>
    <xf numFmtId="0" fontId="27" fillId="0" borderId="0" xfId="0" applyFont="1" applyAlignment="1">
      <alignment vertical="center"/>
    </xf>
    <xf numFmtId="0" fontId="1" fillId="0" borderId="0" xfId="0" applyFont="1" applyBorder="1" applyAlignment="1" applyProtection="1">
      <alignment horizontal="right"/>
    </xf>
    <xf numFmtId="0" fontId="22" fillId="0" borderId="0" xfId="0" applyFont="1" applyBorder="1" applyAlignment="1" applyProtection="1">
      <alignment horizontal="right"/>
    </xf>
    <xf numFmtId="0" fontId="1" fillId="0" borderId="0" xfId="0" applyFont="1" applyBorder="1"/>
    <xf numFmtId="0" fontId="0" fillId="0" borderId="0" xfId="0" applyFill="1" applyProtection="1"/>
    <xf numFmtId="0" fontId="0" fillId="0" borderId="0" xfId="0" applyFill="1" applyAlignment="1" applyProtection="1">
      <alignment horizontal="left"/>
    </xf>
    <xf numFmtId="0" fontId="1" fillId="0" borderId="0" xfId="0" applyFont="1" applyFill="1" applyAlignment="1" applyProtection="1">
      <alignment horizontal="center"/>
    </xf>
    <xf numFmtId="0" fontId="1" fillId="0" borderId="0" xfId="0" applyFont="1" applyFill="1" applyBorder="1" applyAlignment="1" applyProtection="1">
      <alignment wrapText="1"/>
    </xf>
    <xf numFmtId="0" fontId="0" fillId="0" borderId="0" xfId="0" applyFill="1" applyAlignment="1" applyProtection="1">
      <alignment horizontal="left" wrapText="1"/>
    </xf>
    <xf numFmtId="0" fontId="1" fillId="0" borderId="0" xfId="0" applyFont="1" applyFill="1" applyBorder="1" applyAlignment="1" applyProtection="1">
      <alignment horizontal="left" wrapText="1" indent="2"/>
    </xf>
    <xf numFmtId="0" fontId="0" fillId="0" borderId="0" xfId="0" applyFill="1" applyAlignment="1" applyProtection="1">
      <alignment horizontal="center"/>
    </xf>
    <xf numFmtId="0" fontId="22" fillId="0" borderId="11" xfId="72" applyFont="1" applyBorder="1" applyAlignment="1" applyProtection="1">
      <alignment horizontal="left" vertical="top"/>
    </xf>
    <xf numFmtId="0" fontId="22" fillId="0" borderId="0" xfId="72" applyFont="1" applyBorder="1" applyAlignment="1" applyProtection="1">
      <alignment horizontal="left" vertical="top"/>
    </xf>
    <xf numFmtId="0" fontId="22" fillId="0" borderId="12" xfId="72" applyFont="1" applyBorder="1" applyAlignment="1" applyProtection="1">
      <alignment horizontal="left" vertical="top"/>
    </xf>
    <xf numFmtId="10" fontId="1" fillId="0" borderId="0" xfId="76" applyNumberFormat="1" applyFont="1" applyBorder="1" applyAlignment="1" applyProtection="1">
      <alignment horizontal="left"/>
    </xf>
    <xf numFmtId="0" fontId="0" fillId="0" borderId="0" xfId="0" applyAlignment="1" applyProtection="1">
      <alignment horizontal="left" indent="2"/>
    </xf>
    <xf numFmtId="14" fontId="28" fillId="0" borderId="0" xfId="0" applyNumberFormat="1" applyFont="1" applyFill="1" applyBorder="1" applyAlignment="1" applyProtection="1">
      <alignment vertical="top" wrapText="1"/>
    </xf>
    <xf numFmtId="0" fontId="29" fillId="0" borderId="0" xfId="0" applyFont="1" applyFill="1" applyAlignment="1" applyProtection="1">
      <alignment horizontal="center"/>
    </xf>
    <xf numFmtId="0" fontId="29" fillId="0" borderId="0" xfId="0" applyFont="1" applyFill="1" applyProtection="1"/>
    <xf numFmtId="0" fontId="21" fillId="0" borderId="0" xfId="0" applyFont="1" applyAlignment="1">
      <alignment horizontal="left"/>
    </xf>
    <xf numFmtId="166" fontId="0" fillId="0" borderId="0" xfId="87" applyNumberFormat="1" applyFont="1" applyFill="1" applyBorder="1" applyProtection="1"/>
    <xf numFmtId="0" fontId="1" fillId="0" borderId="0" xfId="0" applyFont="1" applyAlignment="1" applyProtection="1">
      <alignment horizontal="left"/>
    </xf>
    <xf numFmtId="0" fontId="0" fillId="0" borderId="13" xfId="0" applyFill="1" applyBorder="1" applyAlignment="1" applyProtection="1">
      <alignment horizontal="left"/>
    </xf>
    <xf numFmtId="0" fontId="0" fillId="0" borderId="13" xfId="0" applyFill="1" applyBorder="1" applyProtection="1"/>
    <xf numFmtId="0" fontId="0" fillId="0" borderId="0" xfId="0" applyProtection="1">
      <protection hidden="1"/>
    </xf>
    <xf numFmtId="0" fontId="1" fillId="0" borderId="0" xfId="0" applyFont="1" applyProtection="1">
      <protection hidden="1"/>
    </xf>
    <xf numFmtId="0" fontId="22" fillId="0" borderId="0" xfId="0" applyFont="1" applyFill="1" applyBorder="1" applyAlignment="1" applyProtection="1">
      <alignment wrapText="1"/>
      <protection hidden="1"/>
    </xf>
    <xf numFmtId="0" fontId="22"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2" fillId="0" borderId="0" xfId="0" applyFont="1" applyProtection="1">
      <protection hidden="1"/>
    </xf>
    <xf numFmtId="0" fontId="1" fillId="0" borderId="0" xfId="0" applyFont="1" applyAlignment="1" applyProtection="1">
      <alignment horizontal="center"/>
      <protection hidden="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wrapText="1" indent="1"/>
    </xf>
    <xf numFmtId="0" fontId="22" fillId="0" borderId="0" xfId="0" applyFont="1" applyFill="1" applyBorder="1" applyAlignment="1" applyProtection="1">
      <alignment horizontal="left" wrapText="1" indent="1"/>
    </xf>
    <xf numFmtId="0" fontId="22" fillId="0" borderId="0" xfId="0" applyFont="1" applyAlignment="1" applyProtection="1">
      <alignment horizontal="left" indent="1"/>
    </xf>
    <xf numFmtId="0" fontId="1" fillId="0" borderId="0" xfId="71" applyFont="1" applyProtection="1"/>
    <xf numFmtId="0" fontId="22" fillId="0" borderId="0" xfId="71" applyFont="1" applyAlignment="1" applyProtection="1">
      <alignment horizontal="center"/>
    </xf>
    <xf numFmtId="0" fontId="22" fillId="0" borderId="14" xfId="71" applyFont="1" applyBorder="1" applyAlignment="1" applyProtection="1">
      <alignment horizontal="center"/>
    </xf>
    <xf numFmtId="10" fontId="31" fillId="0" borderId="14" xfId="71" applyNumberFormat="1" applyFont="1" applyFill="1" applyBorder="1" applyAlignment="1" applyProtection="1">
      <alignment horizontal="center"/>
    </xf>
    <xf numFmtId="0" fontId="21" fillId="0" borderId="0" xfId="71" applyFont="1" applyAlignment="1" applyProtection="1">
      <alignment horizontal="center"/>
    </xf>
    <xf numFmtId="0" fontId="32" fillId="0" borderId="0" xfId="71" applyFont="1" applyAlignment="1" applyProtection="1"/>
    <xf numFmtId="0" fontId="22" fillId="0" borderId="0" xfId="71" applyFont="1" applyProtection="1"/>
    <xf numFmtId="0" fontId="22" fillId="0" borderId="14" xfId="71" applyFont="1" applyFill="1" applyBorder="1" applyAlignment="1" applyProtection="1">
      <alignment horizontal="center" vertical="center" wrapText="1"/>
    </xf>
    <xf numFmtId="0" fontId="30" fillId="0" borderId="14" xfId="71" applyFont="1" applyBorder="1" applyAlignment="1" applyProtection="1">
      <alignment horizontal="center" vertical="center"/>
    </xf>
    <xf numFmtId="10" fontId="30" fillId="25" borderId="14" xfId="71" applyNumberFormat="1" applyFont="1" applyFill="1" applyBorder="1" applyAlignment="1" applyProtection="1">
      <alignment horizontal="center" vertical="center"/>
      <protection locked="0"/>
    </xf>
    <xf numFmtId="4" fontId="26" fillId="0" borderId="14" xfId="71" applyNumberFormat="1" applyFont="1" applyFill="1" applyBorder="1" applyAlignment="1" applyProtection="1">
      <alignment horizontal="center" vertical="center"/>
    </xf>
    <xf numFmtId="10" fontId="30" fillId="0" borderId="14" xfId="71" applyNumberFormat="1" applyFont="1" applyFill="1" applyBorder="1" applyAlignment="1" applyProtection="1">
      <alignment horizontal="center" vertical="center"/>
    </xf>
    <xf numFmtId="10" fontId="30" fillId="0" borderId="14" xfId="71" applyNumberFormat="1" applyFont="1" applyFill="1" applyBorder="1" applyAlignment="1" applyProtection="1">
      <alignment horizontal="center" vertical="center" wrapText="1"/>
    </xf>
    <xf numFmtId="0" fontId="30" fillId="0" borderId="14" xfId="71" applyFont="1" applyFill="1" applyBorder="1" applyAlignment="1" applyProtection="1">
      <alignment horizontal="center" vertical="center" wrapText="1"/>
    </xf>
    <xf numFmtId="0" fontId="39" fillId="0" borderId="0" xfId="71" applyFont="1" applyFill="1" applyBorder="1" applyAlignment="1" applyProtection="1">
      <alignment horizontal="center" vertical="center" wrapText="1"/>
    </xf>
    <xf numFmtId="10" fontId="39" fillId="0" borderId="0" xfId="71" applyNumberFormat="1" applyFont="1" applyFill="1" applyBorder="1" applyAlignment="1" applyProtection="1">
      <alignment horizontal="center" vertical="center"/>
    </xf>
    <xf numFmtId="170" fontId="1" fillId="0" borderId="0" xfId="71" applyNumberFormat="1" applyFont="1" applyAlignment="1" applyProtection="1"/>
    <xf numFmtId="0" fontId="30" fillId="0" borderId="0" xfId="71" applyFont="1" applyBorder="1" applyProtection="1"/>
    <xf numFmtId="0" fontId="1" fillId="0" borderId="0" xfId="71" applyFont="1" applyBorder="1" applyProtection="1"/>
    <xf numFmtId="0" fontId="30" fillId="0" borderId="0" xfId="71" applyFont="1" applyProtection="1"/>
    <xf numFmtId="0" fontId="30" fillId="0" borderId="0" xfId="71" applyFont="1" applyAlignment="1" applyProtection="1">
      <alignment vertical="top"/>
    </xf>
    <xf numFmtId="0" fontId="34" fillId="0" borderId="0" xfId="71" applyFont="1" applyBorder="1" applyAlignment="1" applyProtection="1">
      <alignment horizontal="center" vertical="top"/>
    </xf>
    <xf numFmtId="0" fontId="22" fillId="0" borderId="14" xfId="0" applyFont="1" applyBorder="1" applyAlignment="1" applyProtection="1">
      <alignment horizontal="center" vertical="center" wrapText="1"/>
    </xf>
    <xf numFmtId="0" fontId="22" fillId="0" borderId="14" xfId="0" applyFont="1" applyBorder="1" applyAlignment="1" applyProtection="1">
      <alignment horizontal="center" vertical="center"/>
    </xf>
    <xf numFmtId="0" fontId="22" fillId="24" borderId="14" xfId="0" applyNumberFormat="1" applyFont="1" applyFill="1" applyBorder="1" applyAlignment="1" applyProtection="1">
      <alignment horizontal="center" vertical="center"/>
    </xf>
    <xf numFmtId="0" fontId="1" fillId="0" borderId="15" xfId="0" applyFont="1" applyBorder="1" applyAlignment="1" applyProtection="1">
      <alignment horizontal="center"/>
    </xf>
    <xf numFmtId="0" fontId="22" fillId="0" borderId="16" xfId="0" applyFont="1" applyBorder="1" applyAlignment="1" applyProtection="1">
      <alignment horizontal="center"/>
    </xf>
    <xf numFmtId="0" fontId="1" fillId="0" borderId="0" xfId="0" applyFont="1" applyFill="1"/>
    <xf numFmtId="0" fontId="36" fillId="0" borderId="0" xfId="0" applyFont="1" applyFill="1" applyAlignment="1">
      <alignment vertical="center"/>
    </xf>
    <xf numFmtId="0" fontId="1" fillId="0" borderId="0" xfId="0" applyFont="1" applyFill="1" applyAlignment="1">
      <alignment horizontal="center" vertical="top"/>
    </xf>
    <xf numFmtId="0" fontId="1" fillId="0" borderId="0" xfId="0" applyFont="1" applyProtection="1"/>
    <xf numFmtId="0" fontId="1" fillId="0" borderId="17" xfId="0" applyFont="1" applyBorder="1"/>
    <xf numFmtId="0" fontId="30" fillId="0" borderId="0" xfId="0" applyFont="1"/>
    <xf numFmtId="0" fontId="21" fillId="0" borderId="0" xfId="0" applyFont="1" applyAlignment="1">
      <alignment horizontal="right"/>
    </xf>
    <xf numFmtId="0" fontId="22" fillId="25" borderId="0" xfId="0" applyFont="1" applyFill="1" applyAlignment="1" applyProtection="1">
      <protection locked="0"/>
    </xf>
    <xf numFmtId="0" fontId="22" fillId="24" borderId="10" xfId="0" applyNumberFormat="1" applyFont="1" applyFill="1" applyBorder="1" applyAlignment="1" applyProtection="1">
      <alignment horizontal="center" vertical="center" wrapText="1"/>
    </xf>
    <xf numFmtId="0" fontId="1" fillId="25" borderId="18" xfId="0" applyFont="1" applyFill="1" applyBorder="1" applyAlignment="1" applyProtection="1">
      <alignment horizontal="left" vertical="top" wrapText="1"/>
      <protection locked="0"/>
    </xf>
    <xf numFmtId="0" fontId="1" fillId="0" borderId="12" xfId="0" applyFont="1" applyBorder="1"/>
    <xf numFmtId="0" fontId="30" fillId="0" borderId="11" xfId="0" applyFont="1" applyBorder="1" applyAlignment="1" applyProtection="1">
      <alignment horizontal="left" vertical="center"/>
    </xf>
    <xf numFmtId="0" fontId="1" fillId="25" borderId="18" xfId="0" applyFont="1" applyFill="1" applyBorder="1" applyAlignment="1" applyProtection="1">
      <alignment vertical="top" wrapText="1"/>
      <protection locked="0"/>
    </xf>
    <xf numFmtId="0" fontId="22" fillId="0" borderId="11" xfId="72" applyFont="1" applyBorder="1" applyAlignment="1" applyProtection="1">
      <alignment vertical="top"/>
    </xf>
    <xf numFmtId="0" fontId="22" fillId="0" borderId="15" xfId="72" applyFont="1" applyBorder="1" applyAlignment="1" applyProtection="1">
      <alignment horizontal="center" vertical="top"/>
    </xf>
    <xf numFmtId="0" fontId="0" fillId="0" borderId="0" xfId="0" applyFont="1" applyProtection="1"/>
    <xf numFmtId="10" fontId="37" fillId="25" borderId="16" xfId="76" applyNumberFormat="1" applyFont="1" applyFill="1" applyBorder="1" applyAlignment="1" applyProtection="1">
      <alignment horizontal="center" vertical="top" wrapText="1"/>
    </xf>
    <xf numFmtId="10" fontId="0" fillId="0" borderId="16" xfId="76" applyNumberFormat="1" applyFont="1" applyFill="1" applyBorder="1" applyAlignment="1" applyProtection="1">
      <alignment horizontal="center" vertical="top" wrapText="1"/>
    </xf>
    <xf numFmtId="164" fontId="22" fillId="24" borderId="19" xfId="87" applyNumberFormat="1" applyFont="1" applyFill="1" applyBorder="1" applyAlignment="1" applyProtection="1">
      <alignment horizontal="center" vertical="center" shrinkToFit="1"/>
    </xf>
    <xf numFmtId="164" fontId="1" fillId="0" borderId="20" xfId="87" applyNumberFormat="1" applyFont="1" applyFill="1" applyBorder="1" applyAlignment="1">
      <alignment horizontal="center" vertical="center" shrinkToFit="1"/>
    </xf>
    <xf numFmtId="0" fontId="21" fillId="0" borderId="0" xfId="0" applyFont="1" applyAlignment="1">
      <alignment horizontal="left" vertical="center"/>
    </xf>
    <xf numFmtId="0" fontId="1" fillId="0" borderId="0" xfId="71" applyFont="1" applyBorder="1" applyAlignment="1" applyProtection="1">
      <alignment horizontal="center" vertical="top"/>
    </xf>
    <xf numFmtId="0" fontId="38" fillId="0" borderId="0" xfId="72" applyFont="1" applyBorder="1" applyAlignment="1" applyProtection="1">
      <alignment horizontal="left" vertical="top"/>
    </xf>
    <xf numFmtId="0" fontId="35" fillId="0" borderId="0" xfId="0" applyFont="1" applyAlignment="1">
      <alignment horizontal="left" vertical="center"/>
    </xf>
    <xf numFmtId="3" fontId="0" fillId="26" borderId="21" xfId="0" applyNumberFormat="1" applyFill="1" applyBorder="1" applyAlignment="1" applyProtection="1">
      <alignment horizontal="left"/>
    </xf>
    <xf numFmtId="10" fontId="37" fillId="25" borderId="18" xfId="76" applyNumberFormat="1" applyFont="1" applyFill="1" applyBorder="1" applyAlignment="1" applyProtection="1">
      <alignment horizontal="left" vertical="top" wrapText="1"/>
      <protection locked="0"/>
    </xf>
    <xf numFmtId="0" fontId="1" fillId="26" borderId="18" xfId="0" applyFont="1" applyFill="1" applyBorder="1" applyAlignment="1" applyProtection="1">
      <alignment horizontal="left"/>
    </xf>
    <xf numFmtId="4" fontId="26" fillId="0" borderId="14" xfId="71" applyNumberFormat="1" applyFont="1" applyFill="1" applyBorder="1" applyAlignment="1" applyProtection="1">
      <alignment horizontal="center" vertical="center" wrapText="1"/>
    </xf>
    <xf numFmtId="0" fontId="46" fillId="0" borderId="0" xfId="71" applyFont="1" applyAlignment="1" applyProtection="1">
      <alignment wrapText="1"/>
    </xf>
    <xf numFmtId="0" fontId="47" fillId="0" borderId="0" xfId="71" applyFont="1" applyAlignment="1" applyProtection="1">
      <alignment vertical="top" wrapText="1"/>
    </xf>
    <xf numFmtId="0" fontId="44" fillId="0" borderId="14" xfId="71" applyFont="1" applyBorder="1" applyAlignment="1" applyProtection="1">
      <alignment horizontal="center" vertical="center"/>
    </xf>
    <xf numFmtId="4" fontId="26" fillId="0" borderId="0" xfId="71" applyNumberFormat="1" applyFont="1" applyFill="1" applyBorder="1" applyAlignment="1" applyProtection="1">
      <alignment horizontal="center" vertical="center" wrapText="1"/>
    </xf>
    <xf numFmtId="0" fontId="1" fillId="0" borderId="0" xfId="71" applyFont="1" applyProtection="1">
      <protection locked="0"/>
    </xf>
    <xf numFmtId="0" fontId="22" fillId="0" borderId="0" xfId="0" applyFont="1"/>
    <xf numFmtId="0" fontId="22" fillId="0" borderId="0" xfId="0" applyFont="1" applyAlignment="1">
      <alignment horizontal="left"/>
    </xf>
    <xf numFmtId="0" fontId="0" fillId="0" borderId="0" xfId="0" applyAlignment="1" applyProtection="1">
      <alignment horizontal="center"/>
    </xf>
    <xf numFmtId="0" fontId="22" fillId="0" borderId="22" xfId="0" applyFont="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0" fillId="0" borderId="0" xfId="0" applyBorder="1"/>
    <xf numFmtId="0" fontId="1" fillId="0" borderId="0" xfId="0" applyFont="1" applyFill="1" applyBorder="1"/>
    <xf numFmtId="0" fontId="23" fillId="0" borderId="16" xfId="0" applyFont="1" applyBorder="1" applyAlignment="1">
      <alignment horizontal="center"/>
    </xf>
    <xf numFmtId="0" fontId="2" fillId="25" borderId="23" xfId="0" applyNumberFormat="1" applyFont="1" applyFill="1" applyBorder="1" applyAlignment="1" applyProtection="1">
      <alignment vertical="center" wrapText="1"/>
      <protection locked="0"/>
    </xf>
    <xf numFmtId="164" fontId="1" fillId="0" borderId="24" xfId="87" applyNumberFormat="1" applyFont="1" applyFill="1" applyBorder="1" applyAlignment="1">
      <alignment vertical="center" shrinkToFit="1"/>
    </xf>
    <xf numFmtId="0" fontId="1" fillId="25" borderId="25" xfId="0" applyFont="1" applyFill="1" applyBorder="1" applyAlignment="1" applyProtection="1">
      <alignment horizontal="center" textRotation="90" wrapText="1"/>
      <protection locked="0"/>
    </xf>
    <xf numFmtId="0" fontId="22" fillId="0" borderId="15" xfId="0" applyFont="1" applyBorder="1" applyAlignment="1" applyProtection="1">
      <alignment horizontal="center" vertical="center" wrapText="1"/>
    </xf>
    <xf numFmtId="0" fontId="22" fillId="0" borderId="15" xfId="0" applyFont="1" applyBorder="1" applyAlignment="1" applyProtection="1">
      <alignment horizontal="center" vertical="center"/>
    </xf>
    <xf numFmtId="0" fontId="27" fillId="0" borderId="26" xfId="0" applyFont="1" applyBorder="1" applyAlignment="1">
      <alignment horizontal="center" vertical="center"/>
    </xf>
    <xf numFmtId="0" fontId="2" fillId="0" borderId="27" xfId="0" applyNumberFormat="1" applyFont="1" applyFill="1" applyBorder="1" applyAlignment="1" applyProtection="1">
      <alignment vertical="center"/>
    </xf>
    <xf numFmtId="0" fontId="1" fillId="0" borderId="28" xfId="0" applyNumberFormat="1" applyFont="1" applyFill="1" applyBorder="1" applyAlignment="1" applyProtection="1">
      <alignment vertical="center" wrapText="1"/>
    </xf>
    <xf numFmtId="0" fontId="2" fillId="0" borderId="28" xfId="0" applyNumberFormat="1" applyFont="1" applyFill="1" applyBorder="1" applyAlignment="1" applyProtection="1">
      <alignment vertical="center"/>
    </xf>
    <xf numFmtId="0" fontId="1" fillId="0" borderId="28"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vertical="center" shrinkToFit="1"/>
    </xf>
    <xf numFmtId="0" fontId="1" fillId="0" borderId="0" xfId="0" applyFont="1" applyAlignment="1">
      <alignment wrapText="1"/>
    </xf>
    <xf numFmtId="10" fontId="1" fillId="0" borderId="24" xfId="87" applyNumberFormat="1" applyFont="1" applyFill="1" applyBorder="1" applyAlignment="1">
      <alignment vertical="center" shrinkToFit="1"/>
    </xf>
    <xf numFmtId="10" fontId="22" fillId="24" borderId="10" xfId="87" applyNumberFormat="1" applyFont="1" applyFill="1" applyBorder="1" applyAlignment="1" applyProtection="1">
      <alignment horizontal="center" vertical="center"/>
    </xf>
    <xf numFmtId="0" fontId="22" fillId="0" borderId="11" xfId="72" applyFont="1" applyFill="1" applyBorder="1" applyAlignment="1" applyProtection="1">
      <alignment horizontal="left" vertical="top"/>
    </xf>
    <xf numFmtId="0" fontId="22" fillId="0" borderId="11" xfId="72" applyFont="1" applyFill="1" applyBorder="1" applyAlignment="1" applyProtection="1">
      <alignment vertical="top"/>
    </xf>
    <xf numFmtId="0" fontId="22" fillId="0" borderId="15" xfId="72" applyFont="1" applyFill="1" applyBorder="1" applyAlignment="1" applyProtection="1">
      <alignment horizontal="center" vertical="top"/>
    </xf>
    <xf numFmtId="0" fontId="1" fillId="0" borderId="18" xfId="0" applyFont="1" applyFill="1" applyBorder="1" applyAlignment="1" applyProtection="1">
      <alignment vertical="top" wrapText="1"/>
    </xf>
    <xf numFmtId="0" fontId="1" fillId="0" borderId="18" xfId="0" applyFont="1" applyFill="1" applyBorder="1" applyAlignment="1" applyProtection="1">
      <alignment horizontal="left" vertical="top" wrapText="1"/>
    </xf>
    <xf numFmtId="10" fontId="37" fillId="0" borderId="16" xfId="76" applyNumberFormat="1" applyFont="1" applyFill="1" applyBorder="1" applyAlignment="1" applyProtection="1">
      <alignment horizontal="center" vertical="top" wrapText="1"/>
    </xf>
    <xf numFmtId="10" fontId="37" fillId="0" borderId="18" xfId="76" applyNumberFormat="1" applyFont="1" applyFill="1" applyBorder="1" applyAlignment="1" applyProtection="1">
      <alignment horizontal="left" vertical="top" wrapText="1"/>
    </xf>
    <xf numFmtId="0" fontId="22" fillId="0" borderId="17" xfId="0" applyFont="1" applyBorder="1"/>
    <xf numFmtId="0" fontId="22" fillId="0" borderId="17" xfId="0" applyFont="1" applyBorder="1" applyAlignment="1">
      <alignment horizontal="left"/>
    </xf>
    <xf numFmtId="0" fontId="1" fillId="0" borderId="17" xfId="0" applyFont="1" applyBorder="1" applyAlignment="1">
      <alignment horizontal="left"/>
    </xf>
    <xf numFmtId="0" fontId="22" fillId="0" borderId="17" xfId="71" applyFont="1" applyBorder="1" applyAlignment="1" applyProtection="1">
      <alignment horizontal="left"/>
    </xf>
    <xf numFmtId="0" fontId="1" fillId="0" borderId="17" xfId="71" applyFont="1" applyBorder="1" applyProtection="1"/>
    <xf numFmtId="0" fontId="27" fillId="0" borderId="0" xfId="0" applyFont="1" applyAlignment="1">
      <alignment horizontal="center" vertical="center"/>
    </xf>
    <xf numFmtId="0" fontId="38" fillId="0" borderId="29"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0" xfId="0" applyFont="1" applyAlignment="1" applyProtection="1">
      <alignment horizontal="center"/>
    </xf>
    <xf numFmtId="4" fontId="26" fillId="27" borderId="13" xfId="87" applyNumberFormat="1" applyFont="1" applyFill="1" applyBorder="1" applyAlignment="1" applyProtection="1">
      <alignment horizontal="center" vertical="center" shrinkToFit="1"/>
    </xf>
    <xf numFmtId="10" fontId="26" fillId="28" borderId="0" xfId="76" applyNumberFormat="1" applyFont="1" applyFill="1" applyBorder="1" applyAlignment="1" applyProtection="1">
      <alignment horizontal="center" vertical="center" shrinkToFit="1"/>
    </xf>
    <xf numFmtId="4" fontId="26" fillId="28" borderId="13" xfId="87" applyNumberFormat="1" applyFont="1" applyFill="1" applyBorder="1" applyAlignment="1" applyProtection="1">
      <alignment horizontal="center" vertical="center" shrinkToFit="1"/>
    </xf>
    <xf numFmtId="0" fontId="38" fillId="0" borderId="30" xfId="0" applyFont="1" applyBorder="1" applyAlignment="1" applyProtection="1">
      <alignment horizontal="center" vertical="center" wrapText="1"/>
    </xf>
    <xf numFmtId="0" fontId="1" fillId="0" borderId="17" xfId="0" applyFont="1" applyFill="1" applyBorder="1" applyProtection="1"/>
    <xf numFmtId="0" fontId="1" fillId="0" borderId="17" xfId="0" applyFont="1" applyFill="1" applyBorder="1" applyAlignment="1" applyProtection="1">
      <alignment horizontal="center"/>
    </xf>
    <xf numFmtId="0" fontId="22" fillId="27" borderId="18" xfId="0" applyFont="1" applyFill="1" applyBorder="1" applyAlignment="1" applyProtection="1">
      <alignment horizontal="center" vertical="center"/>
    </xf>
    <xf numFmtId="0" fontId="22" fillId="28" borderId="11" xfId="0" applyFont="1" applyFill="1" applyBorder="1" applyAlignment="1" applyProtection="1">
      <alignment horizontal="center" vertical="center"/>
    </xf>
    <xf numFmtId="0" fontId="22" fillId="28" borderId="18" xfId="0" applyFont="1" applyFill="1" applyBorder="1" applyAlignment="1" applyProtection="1">
      <alignment horizontal="center" vertical="center"/>
    </xf>
    <xf numFmtId="0" fontId="0" fillId="25" borderId="14" xfId="0" applyFont="1" applyFill="1" applyBorder="1" applyAlignment="1" applyProtection="1">
      <alignment horizontal="center" vertical="center"/>
      <protection locked="0"/>
    </xf>
    <xf numFmtId="0" fontId="38" fillId="0" borderId="0" xfId="0" applyFont="1" applyAlignment="1" applyProtection="1">
      <alignment horizontal="center" wrapText="1"/>
    </xf>
    <xf numFmtId="0" fontId="50" fillId="0" borderId="0" xfId="0" applyFont="1" applyFill="1" applyProtection="1"/>
    <xf numFmtId="0" fontId="1" fillId="0" borderId="31" xfId="0" applyNumberFormat="1" applyFont="1" applyFill="1" applyBorder="1" applyAlignment="1">
      <alignment vertical="center" wrapText="1" shrinkToFit="1"/>
    </xf>
    <xf numFmtId="0" fontId="40" fillId="24" borderId="32" xfId="0" applyNumberFormat="1" applyFont="1" applyFill="1" applyBorder="1" applyAlignment="1" applyProtection="1">
      <alignment horizontal="center" vertical="center" wrapText="1"/>
    </xf>
    <xf numFmtId="0" fontId="2" fillId="28" borderId="23" xfId="0" applyNumberFormat="1" applyFont="1" applyFill="1" applyBorder="1" applyAlignment="1" applyProtection="1">
      <alignment vertical="center" wrapText="1"/>
    </xf>
    <xf numFmtId="164" fontId="1" fillId="0" borderId="28" xfId="87" applyFont="1" applyFill="1" applyBorder="1" applyAlignment="1" applyProtection="1">
      <alignment vertical="center" shrinkToFit="1"/>
    </xf>
    <xf numFmtId="0" fontId="1" fillId="0" borderId="0" xfId="0" applyFont="1" applyAlignment="1" applyProtection="1">
      <alignment horizontal="center"/>
      <protection locked="0"/>
    </xf>
    <xf numFmtId="0" fontId="22" fillId="27" borderId="11" xfId="0" applyFont="1" applyFill="1" applyBorder="1" applyAlignment="1" applyProtection="1">
      <alignment horizontal="center" vertical="center"/>
    </xf>
    <xf numFmtId="10" fontId="30" fillId="0" borderId="0" xfId="76" applyNumberFormat="1" applyFont="1" applyFill="1" applyBorder="1" applyAlignment="1" applyProtection="1">
      <alignment horizontal="center" vertical="center"/>
    </xf>
    <xf numFmtId="4" fontId="30" fillId="0" borderId="0" xfId="76" applyNumberFormat="1"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4" fillId="0" borderId="0" xfId="0" applyFont="1" applyFill="1" applyAlignment="1" applyProtection="1">
      <alignment vertical="center"/>
    </xf>
    <xf numFmtId="0" fontId="21" fillId="0" borderId="0" xfId="0" applyFont="1" applyAlignment="1" applyProtection="1">
      <alignment horizontal="right" vertical="center"/>
    </xf>
    <xf numFmtId="0" fontId="21" fillId="0" borderId="0" xfId="0" applyFont="1" applyAlignment="1" applyProtection="1">
      <alignment horizontal="left" vertical="center"/>
    </xf>
    <xf numFmtId="0" fontId="0" fillId="0" borderId="0" xfId="0" applyFill="1" applyAlignment="1" applyProtection="1">
      <alignment horizontal="center" vertical="top"/>
    </xf>
    <xf numFmtId="0" fontId="35" fillId="0" borderId="0" xfId="0" applyFont="1" applyAlignment="1" applyProtection="1">
      <alignment horizontal="left" vertical="center"/>
    </xf>
    <xf numFmtId="0" fontId="1" fillId="0" borderId="0" xfId="0" applyFont="1" applyAlignment="1" applyProtection="1">
      <alignment horizontal="center" wrapText="1"/>
    </xf>
    <xf numFmtId="0" fontId="48" fillId="0" borderId="0" xfId="0" applyFont="1" applyAlignment="1" applyProtection="1">
      <alignment wrapText="1"/>
    </xf>
    <xf numFmtId="0" fontId="0" fillId="0" borderId="0" xfId="0" applyNumberFormat="1" applyProtection="1"/>
    <xf numFmtId="0" fontId="22" fillId="0" borderId="0" xfId="0" applyFont="1" applyFill="1" applyBorder="1" applyAlignment="1" applyProtection="1">
      <alignment horizontal="center" wrapText="1"/>
    </xf>
    <xf numFmtId="0" fontId="26" fillId="0" borderId="15" xfId="0" applyFont="1" applyFill="1" applyBorder="1" applyAlignment="1" applyProtection="1">
      <alignment horizontal="center" vertical="center"/>
    </xf>
    <xf numFmtId="0" fontId="26" fillId="0" borderId="15" xfId="0" applyFont="1" applyFill="1" applyBorder="1" applyAlignment="1" applyProtection="1">
      <alignment horizontal="center" vertical="center" wrapText="1"/>
    </xf>
    <xf numFmtId="0" fontId="26" fillId="0" borderId="3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 fontId="1" fillId="0" borderId="0" xfId="0" applyNumberFormat="1" applyFont="1" applyFill="1" applyBorder="1" applyAlignment="1" applyProtection="1">
      <alignment horizontal="center" vertical="center"/>
    </xf>
    <xf numFmtId="0" fontId="2" fillId="0" borderId="0" xfId="0" applyFont="1" applyFill="1" applyBorder="1" applyProtection="1"/>
    <xf numFmtId="0" fontId="1" fillId="0" borderId="0" xfId="0" applyFont="1" applyBorder="1" applyProtection="1"/>
    <xf numFmtId="0" fontId="2" fillId="0" borderId="0" xfId="0" applyFont="1" applyProtection="1"/>
    <xf numFmtId="0" fontId="1" fillId="0" borderId="0" xfId="0" applyFont="1" applyBorder="1" applyAlignment="1" applyProtection="1">
      <alignment vertical="top"/>
    </xf>
    <xf numFmtId="0" fontId="22" fillId="0" borderId="0" xfId="0" applyFont="1" applyBorder="1" applyAlignment="1" applyProtection="1">
      <alignment vertical="center"/>
    </xf>
    <xf numFmtId="4" fontId="2" fillId="0" borderId="0" xfId="0" applyNumberFormat="1" applyFont="1" applyProtection="1"/>
    <xf numFmtId="0" fontId="22" fillId="0" borderId="17" xfId="0" applyFont="1" applyFill="1" applyBorder="1" applyAlignment="1" applyProtection="1">
      <alignment horizontal="left" vertical="center"/>
    </xf>
    <xf numFmtId="0" fontId="1" fillId="0" borderId="17" xfId="0" applyFont="1" applyBorder="1" applyProtection="1"/>
    <xf numFmtId="0" fontId="1" fillId="0" borderId="0" xfId="0" applyFont="1" applyBorder="1" applyAlignment="1" applyProtection="1">
      <alignment horizontal="center"/>
    </xf>
    <xf numFmtId="0" fontId="22" fillId="0" borderId="11" xfId="0" applyFont="1" applyFill="1" applyBorder="1" applyAlignment="1" applyProtection="1">
      <alignment wrapText="1"/>
    </xf>
    <xf numFmtId="0" fontId="0" fillId="0" borderId="11" xfId="0" applyBorder="1" applyProtection="1"/>
    <xf numFmtId="0" fontId="0" fillId="0" borderId="11" xfId="0" quotePrefix="1" applyBorder="1" applyProtection="1"/>
    <xf numFmtId="10" fontId="30" fillId="0" borderId="11" xfId="76" applyNumberFormat="1" applyFont="1" applyFill="1" applyBorder="1" applyAlignment="1" applyProtection="1">
      <alignment horizontal="center" vertical="center"/>
    </xf>
    <xf numFmtId="4" fontId="30" fillId="0" borderId="11" xfId="76" applyNumberFormat="1" applyFont="1" applyFill="1" applyBorder="1" applyAlignment="1" applyProtection="1">
      <alignment horizontal="center" vertical="center"/>
    </xf>
    <xf numFmtId="4" fontId="26" fillId="27" borderId="18" xfId="87" applyNumberFormat="1" applyFont="1" applyFill="1" applyBorder="1" applyAlignment="1" applyProtection="1">
      <alignment horizontal="center" vertical="center" shrinkToFit="1"/>
    </xf>
    <xf numFmtId="10" fontId="26" fillId="28" borderId="11" xfId="76" applyNumberFormat="1" applyFont="1" applyFill="1" applyBorder="1" applyAlignment="1" applyProtection="1">
      <alignment horizontal="center" vertical="center" shrinkToFit="1"/>
    </xf>
    <xf numFmtId="4" fontId="26" fillId="28" borderId="18" xfId="87" applyNumberFormat="1"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10" fontId="26" fillId="27" borderId="11" xfId="76" applyNumberFormat="1" applyFont="1" applyFill="1" applyBorder="1" applyAlignment="1" applyProtection="1">
      <alignment horizontal="center" vertical="center" shrinkToFit="1"/>
    </xf>
    <xf numFmtId="10" fontId="26" fillId="27" borderId="0" xfId="76" applyNumberFormat="1" applyFont="1" applyFill="1" applyBorder="1" applyAlignment="1" applyProtection="1">
      <alignment horizontal="center" vertical="center" shrinkToFit="1"/>
    </xf>
    <xf numFmtId="4" fontId="30" fillId="0" borderId="12" xfId="76" applyNumberFormat="1" applyFont="1" applyFill="1" applyBorder="1" applyAlignment="1" applyProtection="1">
      <alignment horizontal="center" vertical="center"/>
    </xf>
    <xf numFmtId="10" fontId="0" fillId="0" borderId="14" xfId="0" applyNumberFormat="1" applyBorder="1" applyProtection="1"/>
    <xf numFmtId="49" fontId="1" fillId="25" borderId="24" xfId="0" applyNumberFormat="1"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xf>
    <xf numFmtId="0" fontId="1" fillId="0" borderId="14" xfId="0" applyFont="1" applyBorder="1"/>
    <xf numFmtId="0" fontId="0" fillId="0" borderId="0" xfId="0" quotePrefix="1"/>
    <xf numFmtId="0" fontId="30" fillId="0" borderId="0" xfId="0" applyFont="1" applyFill="1" applyBorder="1" applyAlignment="1" applyProtection="1">
      <alignment horizontal="left" wrapText="1"/>
      <protection locked="0"/>
    </xf>
    <xf numFmtId="0" fontId="1" fillId="0" borderId="14" xfId="0" applyFont="1" applyBorder="1" applyProtection="1">
      <protection locked="0"/>
    </xf>
    <xf numFmtId="164" fontId="1" fillId="25" borderId="34" xfId="87" applyFont="1" applyFill="1" applyBorder="1" applyAlignment="1" applyProtection="1">
      <alignment vertical="center" shrinkToFit="1"/>
      <protection locked="0"/>
    </xf>
    <xf numFmtId="0" fontId="22" fillId="24" borderId="32" xfId="0" applyNumberFormat="1" applyFont="1" applyFill="1" applyBorder="1" applyAlignment="1" applyProtection="1">
      <alignment horizontal="center" vertical="center" shrinkToFit="1"/>
    </xf>
    <xf numFmtId="0" fontId="22" fillId="24" borderId="25" xfId="0" applyNumberFormat="1"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wrapText="1" shrinkToFit="1"/>
    </xf>
    <xf numFmtId="14" fontId="26" fillId="0" borderId="11" xfId="0" applyNumberFormat="1"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10" fontId="30" fillId="25" borderId="35" xfId="76" applyNumberFormat="1" applyFont="1" applyFill="1" applyBorder="1" applyAlignment="1" applyProtection="1">
      <alignment horizontal="center" vertical="center"/>
      <protection locked="0" hidden="1"/>
    </xf>
    <xf numFmtId="0" fontId="26" fillId="0" borderId="12" xfId="0" applyFont="1" applyFill="1" applyBorder="1" applyAlignment="1" applyProtection="1">
      <alignment horizontal="center" vertical="center" wrapText="1"/>
    </xf>
    <xf numFmtId="0" fontId="22" fillId="0" borderId="0" xfId="0" applyFont="1" applyFill="1" applyBorder="1" applyAlignment="1" applyProtection="1">
      <alignment wrapText="1"/>
    </xf>
    <xf numFmtId="0" fontId="1" fillId="26" borderId="0" xfId="0" applyFont="1" applyFill="1"/>
    <xf numFmtId="164" fontId="1" fillId="25" borderId="24" xfId="87" applyNumberFormat="1" applyFont="1" applyFill="1" applyBorder="1" applyAlignment="1" applyProtection="1">
      <alignment vertical="center" shrinkToFit="1"/>
    </xf>
    <xf numFmtId="10" fontId="30" fillId="25" borderId="36" xfId="76" applyNumberFormat="1" applyFont="1" applyFill="1" applyBorder="1" applyAlignment="1" applyProtection="1">
      <alignment horizontal="center" vertical="center"/>
      <protection locked="0"/>
    </xf>
    <xf numFmtId="10" fontId="30" fillId="25" borderId="35" xfId="76" applyNumberFormat="1" applyFont="1" applyFill="1" applyBorder="1" applyAlignment="1" applyProtection="1">
      <alignment horizontal="center" vertical="center"/>
      <protection locked="0"/>
    </xf>
    <xf numFmtId="10" fontId="30" fillId="25" borderId="37" xfId="76" applyNumberFormat="1" applyFont="1" applyFill="1" applyBorder="1" applyAlignment="1" applyProtection="1">
      <alignment horizontal="center" vertical="center"/>
      <protection locked="0"/>
    </xf>
    <xf numFmtId="164" fontId="1" fillId="31" borderId="24" xfId="87" applyFont="1" applyFill="1" applyBorder="1" applyAlignment="1" applyProtection="1">
      <alignment vertical="center" wrapText="1"/>
      <protection locked="0"/>
    </xf>
    <xf numFmtId="0" fontId="1" fillId="31" borderId="24" xfId="0" applyNumberFormat="1" applyFont="1" applyFill="1" applyBorder="1" applyAlignment="1" applyProtection="1">
      <alignment horizontal="center" vertical="center" wrapText="1"/>
      <protection locked="0"/>
    </xf>
    <xf numFmtId="0" fontId="1" fillId="31" borderId="24" xfId="0" applyNumberFormat="1" applyFont="1" applyFill="1" applyBorder="1" applyAlignment="1" applyProtection="1">
      <alignment vertical="center" wrapText="1"/>
      <protection locked="0"/>
    </xf>
    <xf numFmtId="10" fontId="1" fillId="31" borderId="24" xfId="76" applyNumberFormat="1" applyFont="1" applyFill="1" applyBorder="1" applyAlignment="1" applyProtection="1">
      <alignment horizontal="center" vertical="center" wrapText="1"/>
      <protection locked="0"/>
    </xf>
    <xf numFmtId="0" fontId="54" fillId="0" borderId="14" xfId="0" applyFont="1" applyFill="1" applyBorder="1" applyAlignment="1" applyProtection="1">
      <alignment horizontal="center"/>
      <protection locked="0"/>
    </xf>
    <xf numFmtId="0" fontId="55" fillId="32" borderId="41" xfId="0" applyFont="1" applyFill="1" applyBorder="1" applyAlignment="1" applyProtection="1">
      <alignment horizontal="center"/>
      <protection locked="0"/>
    </xf>
    <xf numFmtId="0" fontId="55" fillId="0" borderId="14" xfId="0" applyFont="1" applyFill="1" applyBorder="1" applyAlignment="1" applyProtection="1">
      <alignment horizontal="center"/>
      <protection locked="0"/>
    </xf>
    <xf numFmtId="44" fontId="55" fillId="0" borderId="14" xfId="0" applyNumberFormat="1" applyFont="1" applyFill="1" applyBorder="1" applyProtection="1">
      <protection locked="0"/>
    </xf>
    <xf numFmtId="0" fontId="56" fillId="0" borderId="14" xfId="0" applyFont="1" applyFill="1" applyBorder="1" applyProtection="1">
      <protection locked="0"/>
    </xf>
    <xf numFmtId="0" fontId="57" fillId="0" borderId="14" xfId="0" applyFont="1" applyFill="1" applyBorder="1" applyAlignment="1" applyProtection="1">
      <alignment horizontal="center"/>
      <protection locked="0"/>
    </xf>
    <xf numFmtId="0" fontId="56" fillId="32" borderId="41" xfId="0" applyFont="1" applyFill="1" applyBorder="1" applyAlignment="1" applyProtection="1">
      <alignment horizontal="center"/>
      <protection locked="0"/>
    </xf>
    <xf numFmtId="44" fontId="56" fillId="0" borderId="14" xfId="0" applyNumberFormat="1" applyFont="1" applyFill="1" applyBorder="1" applyProtection="1">
      <protection locked="0"/>
    </xf>
    <xf numFmtId="0" fontId="56" fillId="0" borderId="14" xfId="0" applyFont="1" applyFill="1" applyBorder="1" applyAlignment="1" applyProtection="1">
      <alignment horizontal="center"/>
      <protection locked="0"/>
    </xf>
    <xf numFmtId="0" fontId="56" fillId="0" borderId="32" xfId="0" applyFont="1" applyFill="1" applyBorder="1" applyProtection="1">
      <protection locked="0"/>
    </xf>
    <xf numFmtId="0" fontId="1" fillId="25" borderId="18" xfId="0" applyFont="1" applyFill="1" applyBorder="1" applyAlignment="1" applyProtection="1">
      <alignment horizontal="left" vertical="top" wrapText="1"/>
      <protection locked="0"/>
    </xf>
    <xf numFmtId="0" fontId="1" fillId="25" borderId="13" xfId="0" applyFont="1" applyFill="1" applyBorder="1" applyAlignment="1" applyProtection="1">
      <alignment horizontal="left" vertical="top" wrapText="1"/>
      <protection locked="0"/>
    </xf>
    <xf numFmtId="0" fontId="1" fillId="25" borderId="38"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wrapText="1" indent="3"/>
    </xf>
    <xf numFmtId="0" fontId="0" fillId="0" borderId="0" xfId="0" applyAlignment="1" applyProtection="1">
      <alignment horizontal="left" indent="3"/>
    </xf>
    <xf numFmtId="0" fontId="22" fillId="0" borderId="11" xfId="72" applyFont="1" applyBorder="1" applyAlignment="1" applyProtection="1">
      <alignment horizontal="left" vertical="top"/>
    </xf>
    <xf numFmtId="0" fontId="22" fillId="0" borderId="0" xfId="72" applyFont="1" applyBorder="1" applyAlignment="1" applyProtection="1">
      <alignment horizontal="left" vertical="top"/>
    </xf>
    <xf numFmtId="0" fontId="1" fillId="0" borderId="0" xfId="0" applyFont="1" applyFill="1" applyBorder="1" applyAlignment="1" applyProtection="1">
      <alignment horizontal="left" wrapText="1" indent="2"/>
    </xf>
    <xf numFmtId="0" fontId="0" fillId="0" borderId="0" xfId="0" applyAlignment="1" applyProtection="1">
      <alignment horizontal="left" indent="2"/>
    </xf>
    <xf numFmtId="0" fontId="22" fillId="0" borderId="40" xfId="0" applyFont="1" applyFill="1" applyBorder="1" applyAlignment="1" applyProtection="1">
      <alignment horizontal="left" wrapText="1"/>
    </xf>
    <xf numFmtId="0" fontId="22" fillId="0" borderId="0" xfId="0" applyFont="1" applyFill="1" applyBorder="1" applyAlignment="1" applyProtection="1">
      <alignment horizontal="left" wrapText="1"/>
    </xf>
    <xf numFmtId="0" fontId="22" fillId="0" borderId="0" xfId="0" applyFont="1" applyFill="1" applyBorder="1" applyAlignment="1" applyProtection="1">
      <alignment horizontal="left" wrapText="1" indent="1"/>
    </xf>
    <xf numFmtId="0" fontId="22" fillId="0" borderId="0" xfId="0" applyFont="1" applyAlignment="1" applyProtection="1">
      <alignment horizontal="left" indent="1"/>
    </xf>
    <xf numFmtId="0" fontId="22" fillId="0" borderId="11" xfId="72" applyFont="1" applyFill="1" applyBorder="1" applyAlignment="1" applyProtection="1">
      <alignment horizontal="left" vertical="top"/>
    </xf>
    <xf numFmtId="0" fontId="22" fillId="0" borderId="0" xfId="72" applyFont="1" applyFill="1" applyBorder="1" applyAlignment="1" applyProtection="1">
      <alignment horizontal="left" vertical="top"/>
    </xf>
    <xf numFmtId="0" fontId="22" fillId="0" borderId="12" xfId="72" applyFont="1" applyFill="1" applyBorder="1" applyAlignment="1" applyProtection="1">
      <alignment horizontal="left" vertical="top"/>
    </xf>
    <xf numFmtId="0" fontId="22" fillId="0" borderId="12" xfId="72" applyFont="1" applyBorder="1" applyAlignment="1" applyProtection="1">
      <alignment horizontal="left" vertical="top"/>
    </xf>
    <xf numFmtId="0" fontId="0" fillId="25" borderId="38" xfId="0" applyFill="1" applyBorder="1" applyAlignment="1" applyProtection="1">
      <alignment horizontal="left" vertical="top" wrapText="1"/>
      <protection locked="0"/>
    </xf>
    <xf numFmtId="0" fontId="51" fillId="29" borderId="0" xfId="0" applyFont="1" applyFill="1" applyBorder="1" applyAlignment="1" applyProtection="1">
      <alignment horizontal="left" vertical="top" wrapText="1" indent="2"/>
    </xf>
    <xf numFmtId="0" fontId="52" fillId="29" borderId="0" xfId="0" applyFont="1" applyFill="1" applyBorder="1" applyAlignment="1" applyProtection="1">
      <alignment horizontal="left" vertical="top" wrapText="1" indent="2"/>
    </xf>
    <xf numFmtId="0" fontId="52" fillId="29" borderId="0" xfId="0" applyFont="1" applyFill="1" applyAlignment="1" applyProtection="1">
      <alignment horizontal="left" vertical="top" indent="2"/>
    </xf>
    <xf numFmtId="167" fontId="0" fillId="25" borderId="18" xfId="0" applyNumberFormat="1" applyFill="1" applyBorder="1" applyAlignment="1" applyProtection="1">
      <alignment horizontal="center" vertical="top" wrapText="1"/>
      <protection locked="0"/>
    </xf>
    <xf numFmtId="167" fontId="0" fillId="25" borderId="38" xfId="0" applyNumberFormat="1" applyFill="1" applyBorder="1" applyAlignment="1" applyProtection="1">
      <alignment horizontal="center" vertical="top" wrapText="1"/>
      <protection locked="0"/>
    </xf>
    <xf numFmtId="0" fontId="38" fillId="0" borderId="11" xfId="72" applyFont="1" applyBorder="1" applyAlignment="1" applyProtection="1">
      <alignment horizontal="left" vertical="top"/>
    </xf>
    <xf numFmtId="0" fontId="38" fillId="0" borderId="12" xfId="72" applyFont="1" applyBorder="1" applyAlignment="1" applyProtection="1">
      <alignment horizontal="left" vertical="top"/>
    </xf>
    <xf numFmtId="0" fontId="21" fillId="26" borderId="17" xfId="0" applyFont="1" applyFill="1" applyBorder="1" applyAlignment="1" applyProtection="1">
      <alignment horizontal="center" vertical="center" wrapText="1"/>
    </xf>
    <xf numFmtId="0" fontId="21" fillId="26" borderId="39" xfId="0" applyFont="1" applyFill="1" applyBorder="1" applyAlignment="1" applyProtection="1">
      <alignment horizontal="center" vertical="center" wrapText="1"/>
    </xf>
    <xf numFmtId="0" fontId="21" fillId="26" borderId="13" xfId="0" applyFont="1" applyFill="1" applyBorder="1" applyAlignment="1" applyProtection="1">
      <alignment horizontal="center" vertical="center" wrapText="1"/>
    </xf>
    <xf numFmtId="0" fontId="21" fillId="26" borderId="38" xfId="0" applyFont="1" applyFill="1" applyBorder="1" applyAlignment="1" applyProtection="1">
      <alignment horizontal="center" vertical="center" wrapText="1"/>
    </xf>
    <xf numFmtId="49" fontId="0" fillId="25" borderId="0" xfId="0" applyNumberFormat="1" applyFill="1" applyBorder="1" applyAlignment="1" applyProtection="1">
      <alignment horizontal="left"/>
      <protection locked="0"/>
    </xf>
    <xf numFmtId="14" fontId="1" fillId="25" borderId="18" xfId="76" applyNumberFormat="1" applyFont="1" applyFill="1" applyBorder="1" applyAlignment="1" applyProtection="1">
      <alignment horizontal="center" vertical="top" wrapText="1"/>
      <protection locked="0"/>
    </xf>
    <xf numFmtId="14" fontId="37" fillId="25" borderId="38" xfId="76" applyNumberFormat="1" applyFont="1" applyFill="1" applyBorder="1" applyAlignment="1" applyProtection="1">
      <alignment horizontal="center" vertical="top" wrapText="1"/>
      <protection locked="0"/>
    </xf>
    <xf numFmtId="49" fontId="1" fillId="25" borderId="18" xfId="76" applyNumberFormat="1" applyFont="1" applyFill="1" applyBorder="1" applyAlignment="1" applyProtection="1">
      <alignment horizontal="left" vertical="top" wrapText="1"/>
      <protection locked="0"/>
    </xf>
    <xf numFmtId="49" fontId="1" fillId="25" borderId="13" xfId="76" applyNumberFormat="1" applyFont="1" applyFill="1" applyBorder="1" applyAlignment="1" applyProtection="1">
      <alignment horizontal="left" vertical="top" wrapText="1"/>
      <protection locked="0"/>
    </xf>
    <xf numFmtId="49" fontId="37" fillId="25" borderId="13" xfId="76" applyNumberFormat="1" applyFont="1" applyFill="1" applyBorder="1" applyAlignment="1" applyProtection="1">
      <alignment horizontal="left" vertical="top" wrapText="1"/>
      <protection locked="0"/>
    </xf>
    <xf numFmtId="49" fontId="37" fillId="25" borderId="38" xfId="76" applyNumberFormat="1" applyFont="1" applyFill="1" applyBorder="1" applyAlignment="1" applyProtection="1">
      <alignment horizontal="left" vertical="top" wrapText="1"/>
      <protection locked="0"/>
    </xf>
    <xf numFmtId="14" fontId="1" fillId="25" borderId="38" xfId="76" applyNumberFormat="1" applyFont="1" applyFill="1" applyBorder="1" applyAlignment="1" applyProtection="1">
      <alignment horizontal="center" vertical="top" wrapText="1"/>
      <protection locked="0"/>
    </xf>
    <xf numFmtId="0" fontId="26" fillId="0" borderId="0" xfId="0" applyFont="1" applyFill="1" applyBorder="1" applyAlignment="1" applyProtection="1">
      <alignment horizontal="center" vertical="center" wrapText="1"/>
    </xf>
    <xf numFmtId="0" fontId="1" fillId="0" borderId="4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wrapText="1"/>
    </xf>
    <xf numFmtId="0" fontId="1" fillId="0" borderId="40" xfId="0" applyFont="1" applyFill="1" applyBorder="1" applyAlignment="1" applyProtection="1">
      <alignment horizontal="left" wrapText="1"/>
    </xf>
    <xf numFmtId="0" fontId="1" fillId="0" borderId="0" xfId="0" applyFont="1" applyFill="1" applyBorder="1" applyAlignment="1" applyProtection="1">
      <alignment horizontal="left" wrapText="1" indent="1"/>
    </xf>
    <xf numFmtId="49" fontId="1" fillId="25" borderId="0" xfId="0" applyNumberFormat="1" applyFont="1" applyFill="1" applyBorder="1" applyAlignment="1" applyProtection="1">
      <alignment horizontal="left"/>
      <protection locked="0"/>
    </xf>
    <xf numFmtId="49" fontId="1" fillId="25" borderId="18" xfId="0" applyNumberFormat="1" applyFont="1" applyFill="1" applyBorder="1" applyAlignment="1" applyProtection="1">
      <alignment horizontal="left" vertical="top" wrapText="1"/>
      <protection locked="0"/>
    </xf>
    <xf numFmtId="49" fontId="1" fillId="25" borderId="38" xfId="0" applyNumberFormat="1" applyFont="1" applyFill="1" applyBorder="1" applyAlignment="1" applyProtection="1">
      <alignment horizontal="left" vertical="top" wrapText="1"/>
      <protection locked="0"/>
    </xf>
    <xf numFmtId="49" fontId="0" fillId="0" borderId="18" xfId="0" applyNumberFormat="1" applyFill="1" applyBorder="1" applyAlignment="1" applyProtection="1">
      <alignment horizontal="left" vertical="top" wrapText="1"/>
    </xf>
    <xf numFmtId="49" fontId="0" fillId="0" borderId="13" xfId="0" applyNumberFormat="1" applyFill="1" applyBorder="1" applyAlignment="1" applyProtection="1">
      <alignment horizontal="left" vertical="top" wrapText="1"/>
    </xf>
    <xf numFmtId="0" fontId="0" fillId="0" borderId="18" xfId="0" applyFill="1" applyBorder="1" applyAlignment="1" applyProtection="1">
      <alignment horizontal="left" vertical="top" wrapText="1"/>
    </xf>
    <xf numFmtId="0" fontId="0" fillId="0" borderId="13" xfId="0" applyFill="1" applyBorder="1" applyAlignment="1" applyProtection="1">
      <alignment horizontal="left" vertical="top" wrapText="1"/>
    </xf>
    <xf numFmtId="0" fontId="0" fillId="0" borderId="38" xfId="0" applyFill="1" applyBorder="1" applyAlignment="1" applyProtection="1">
      <alignment horizontal="left" vertical="top" wrapText="1"/>
    </xf>
    <xf numFmtId="0" fontId="38" fillId="0" borderId="11" xfId="72" applyFont="1" applyFill="1" applyBorder="1" applyAlignment="1" applyProtection="1">
      <alignment horizontal="left" vertical="top"/>
    </xf>
    <xf numFmtId="0" fontId="38" fillId="0" borderId="12" xfId="72" applyFont="1" applyFill="1" applyBorder="1" applyAlignment="1" applyProtection="1">
      <alignment horizontal="left" vertical="top"/>
    </xf>
    <xf numFmtId="167" fontId="0" fillId="0" borderId="18" xfId="0" applyNumberFormat="1" applyFill="1" applyBorder="1" applyAlignment="1" applyProtection="1">
      <alignment horizontal="center" vertical="top" wrapText="1"/>
    </xf>
    <xf numFmtId="167" fontId="0" fillId="0" borderId="38" xfId="0" applyNumberFormat="1" applyFill="1" applyBorder="1" applyAlignment="1" applyProtection="1">
      <alignment horizontal="center" vertical="top" wrapText="1"/>
    </xf>
    <xf numFmtId="0" fontId="1" fillId="0" borderId="18"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0" fontId="1" fillId="0" borderId="38" xfId="0" applyFont="1" applyFill="1" applyBorder="1" applyAlignment="1" applyProtection="1">
      <alignment horizontal="left" vertical="top" wrapText="1"/>
    </xf>
    <xf numFmtId="14" fontId="0" fillId="25" borderId="18" xfId="0" applyNumberFormat="1" applyFill="1" applyBorder="1" applyAlignment="1" applyProtection="1">
      <alignment horizontal="left" vertical="top" wrapText="1"/>
      <protection locked="0"/>
    </xf>
    <xf numFmtId="14" fontId="0" fillId="25" borderId="13" xfId="0" applyNumberFormat="1" applyFill="1" applyBorder="1" applyAlignment="1" applyProtection="1">
      <alignment horizontal="left" vertical="top" wrapText="1"/>
      <protection locked="0"/>
    </xf>
    <xf numFmtId="14" fontId="0" fillId="25" borderId="38" xfId="0" applyNumberFormat="1" applyFill="1" applyBorder="1" applyAlignment="1" applyProtection="1">
      <alignment horizontal="left" vertical="top" wrapText="1"/>
      <protection locked="0"/>
    </xf>
    <xf numFmtId="0" fontId="0" fillId="25" borderId="0" xfId="0" applyFill="1" applyBorder="1" applyAlignment="1" applyProtection="1">
      <alignment horizontal="left"/>
      <protection locked="0"/>
    </xf>
    <xf numFmtId="0" fontId="51" fillId="29" borderId="0" xfId="0" applyFont="1" applyFill="1" applyAlignment="1" applyProtection="1">
      <alignment horizontal="left" vertical="top" indent="2"/>
    </xf>
    <xf numFmtId="10" fontId="1" fillId="0" borderId="18" xfId="76" applyNumberFormat="1" applyFont="1" applyFill="1" applyBorder="1" applyAlignment="1" applyProtection="1">
      <alignment horizontal="left" vertical="top" wrapText="1"/>
    </xf>
    <xf numFmtId="10" fontId="1" fillId="0" borderId="13" xfId="76" applyNumberFormat="1" applyFont="1" applyFill="1" applyBorder="1" applyAlignment="1" applyProtection="1">
      <alignment horizontal="left" vertical="top" wrapText="1"/>
    </xf>
    <xf numFmtId="10" fontId="37" fillId="0" borderId="13" xfId="76" applyNumberFormat="1" applyFont="1" applyFill="1" applyBorder="1" applyAlignment="1" applyProtection="1">
      <alignment horizontal="left" vertical="top" wrapText="1"/>
    </xf>
    <xf numFmtId="10" fontId="37" fillId="0" borderId="38" xfId="76" applyNumberFormat="1" applyFont="1" applyFill="1" applyBorder="1" applyAlignment="1" applyProtection="1">
      <alignment horizontal="left" vertical="top" wrapText="1"/>
    </xf>
    <xf numFmtId="14" fontId="37" fillId="0" borderId="18" xfId="76" applyNumberFormat="1" applyFont="1" applyFill="1" applyBorder="1" applyAlignment="1" applyProtection="1">
      <alignment horizontal="center" vertical="top" wrapText="1"/>
    </xf>
    <xf numFmtId="14" fontId="37" fillId="0" borderId="38" xfId="76" applyNumberFormat="1" applyFont="1" applyFill="1" applyBorder="1" applyAlignment="1" applyProtection="1">
      <alignment horizontal="center" vertical="top" wrapText="1"/>
    </xf>
    <xf numFmtId="14" fontId="1" fillId="0" borderId="18" xfId="76" applyNumberFormat="1" applyFont="1" applyFill="1" applyBorder="1" applyAlignment="1" applyProtection="1">
      <alignment horizontal="center" vertical="top" wrapText="1"/>
    </xf>
    <xf numFmtId="14" fontId="1" fillId="0" borderId="38" xfId="76" applyNumberFormat="1" applyFont="1" applyFill="1" applyBorder="1" applyAlignment="1" applyProtection="1">
      <alignment horizontal="center" vertical="top" wrapText="1"/>
    </xf>
    <xf numFmtId="167" fontId="1" fillId="0" borderId="18" xfId="76" applyNumberFormat="1" applyFont="1" applyFill="1" applyBorder="1" applyAlignment="1" applyProtection="1">
      <alignment horizontal="left" vertical="top" wrapText="1"/>
    </xf>
    <xf numFmtId="167" fontId="1" fillId="0" borderId="13" xfId="76" applyNumberFormat="1" applyFont="1" applyFill="1" applyBorder="1" applyAlignment="1" applyProtection="1">
      <alignment horizontal="left" vertical="top" wrapText="1"/>
    </xf>
    <xf numFmtId="0" fontId="0" fillId="25" borderId="13" xfId="0" applyFill="1" applyBorder="1" applyAlignment="1" applyProtection="1">
      <alignment horizontal="left" vertical="top" wrapText="1"/>
      <protection locked="0"/>
    </xf>
    <xf numFmtId="49" fontId="0" fillId="25" borderId="18" xfId="0" applyNumberFormat="1" applyFill="1" applyBorder="1" applyAlignment="1" applyProtection="1">
      <alignment horizontal="left" vertical="top" wrapText="1"/>
      <protection locked="0"/>
    </xf>
    <xf numFmtId="49" fontId="0" fillId="25" borderId="13" xfId="0" applyNumberFormat="1" applyFill="1" applyBorder="1" applyAlignment="1" applyProtection="1">
      <alignment horizontal="left" vertical="top" wrapText="1"/>
      <protection locked="0"/>
    </xf>
    <xf numFmtId="49" fontId="0" fillId="25" borderId="38" xfId="0" applyNumberFormat="1" applyFill="1" applyBorder="1" applyAlignment="1" applyProtection="1">
      <alignment horizontal="left" vertical="top" wrapText="1"/>
      <protection locked="0"/>
    </xf>
    <xf numFmtId="10" fontId="1" fillId="25" borderId="18" xfId="76" applyNumberFormat="1" applyFont="1" applyFill="1" applyBorder="1" applyAlignment="1" applyProtection="1">
      <alignment horizontal="left" vertical="top" wrapText="1"/>
      <protection locked="0"/>
    </xf>
    <xf numFmtId="10" fontId="37" fillId="25" borderId="13" xfId="76" applyNumberFormat="1" applyFont="1" applyFill="1" applyBorder="1" applyAlignment="1" applyProtection="1">
      <alignment horizontal="left" vertical="top" wrapText="1"/>
      <protection locked="0"/>
    </xf>
    <xf numFmtId="10" fontId="37" fillId="25" borderId="38" xfId="76" applyNumberFormat="1" applyFont="1" applyFill="1" applyBorder="1" applyAlignment="1" applyProtection="1">
      <alignment horizontal="left" vertical="top" wrapText="1"/>
      <protection locked="0"/>
    </xf>
    <xf numFmtId="171" fontId="1" fillId="0" borderId="0" xfId="71" applyNumberFormat="1" applyFont="1" applyFill="1" applyBorder="1" applyAlignment="1" applyProtection="1">
      <alignment horizontal="left"/>
    </xf>
    <xf numFmtId="0" fontId="45" fillId="0" borderId="0" xfId="71" applyFont="1" applyAlignment="1" applyProtection="1">
      <alignment horizontal="left" vertical="center" indent="1"/>
    </xf>
    <xf numFmtId="0" fontId="1" fillId="0" borderId="14" xfId="71" applyFont="1" applyBorder="1" applyAlignment="1" applyProtection="1">
      <alignment horizontal="left" vertical="center" wrapText="1"/>
    </xf>
    <xf numFmtId="0" fontId="39" fillId="0" borderId="0" xfId="71" applyFont="1" applyBorder="1" applyAlignment="1" applyProtection="1">
      <alignment horizontal="left" vertical="center" wrapText="1"/>
    </xf>
    <xf numFmtId="2" fontId="33" fillId="0" borderId="17" xfId="71" applyNumberFormat="1" applyFont="1" applyFill="1" applyBorder="1" applyAlignment="1" applyProtection="1">
      <alignment horizontal="center" vertical="center"/>
    </xf>
    <xf numFmtId="0" fontId="26" fillId="0" borderId="0" xfId="71" applyFont="1" applyBorder="1" applyAlignment="1" applyProtection="1">
      <alignment horizontal="left" vertical="center"/>
    </xf>
    <xf numFmtId="0" fontId="1" fillId="0" borderId="0" xfId="71" applyFont="1" applyBorder="1" applyAlignment="1" applyProtection="1">
      <alignment horizontal="center" vertical="center"/>
    </xf>
    <xf numFmtId="0" fontId="35" fillId="0" borderId="14" xfId="71" applyFont="1" applyBorder="1" applyAlignment="1" applyProtection="1">
      <alignment horizontal="center" vertical="center" wrapText="1"/>
    </xf>
    <xf numFmtId="168" fontId="1" fillId="0" borderId="13" xfId="71" applyNumberFormat="1" applyFont="1" applyBorder="1" applyAlignment="1" applyProtection="1">
      <alignment horizontal="left"/>
    </xf>
    <xf numFmtId="49" fontId="1" fillId="25" borderId="32" xfId="71" applyNumberFormat="1" applyFont="1" applyFill="1" applyBorder="1" applyAlignment="1" applyProtection="1">
      <alignment horizontal="left" vertical="top" wrapText="1"/>
      <protection locked="0"/>
    </xf>
    <xf numFmtId="49" fontId="1" fillId="25" borderId="10" xfId="71" applyNumberFormat="1" applyFont="1" applyFill="1" applyBorder="1" applyAlignment="1" applyProtection="1">
      <alignment horizontal="left" vertical="top" wrapText="1"/>
      <protection locked="0"/>
    </xf>
    <xf numFmtId="49" fontId="1" fillId="25" borderId="19" xfId="71" applyNumberFormat="1" applyFont="1" applyFill="1" applyBorder="1" applyAlignment="1" applyProtection="1">
      <alignment horizontal="left" vertical="top" wrapText="1"/>
      <protection locked="0"/>
    </xf>
    <xf numFmtId="0" fontId="1" fillId="0" borderId="17" xfId="71" applyFont="1" applyBorder="1" applyAlignment="1" applyProtection="1">
      <alignment horizontal="center" vertical="center"/>
    </xf>
    <xf numFmtId="49" fontId="1" fillId="0" borderId="0" xfId="71" applyNumberFormat="1" applyFont="1" applyFill="1" applyBorder="1" applyAlignment="1" applyProtection="1">
      <alignment horizontal="left"/>
      <protection locked="0"/>
    </xf>
    <xf numFmtId="0" fontId="47" fillId="0" borderId="0" xfId="71" applyFont="1" applyAlignment="1" applyProtection="1">
      <alignment horizontal="center" vertical="top" wrapText="1"/>
    </xf>
    <xf numFmtId="171" fontId="1" fillId="0" borderId="13" xfId="71" applyNumberFormat="1" applyFont="1" applyFill="1" applyBorder="1" applyAlignment="1" applyProtection="1">
      <alignment horizontal="left"/>
    </xf>
    <xf numFmtId="0" fontId="1" fillId="0" borderId="14" xfId="71" applyFont="1" applyBorder="1" applyAlignment="1" applyProtection="1">
      <alignment horizontal="left" vertical="center"/>
    </xf>
    <xf numFmtId="0" fontId="22" fillId="0" borderId="14" xfId="71" applyFont="1" applyFill="1" applyBorder="1" applyAlignment="1" applyProtection="1">
      <alignment horizontal="center" vertical="center"/>
    </xf>
    <xf numFmtId="0" fontId="41" fillId="0" borderId="0" xfId="0" quotePrefix="1" applyFont="1" applyBorder="1" applyAlignment="1" applyProtection="1">
      <alignment horizontal="left" vertical="center"/>
    </xf>
    <xf numFmtId="0" fontId="41" fillId="0" borderId="0" xfId="0" applyFont="1" applyBorder="1" applyAlignment="1" applyProtection="1">
      <alignment horizontal="left" vertical="center"/>
    </xf>
    <xf numFmtId="0" fontId="42" fillId="0" borderId="0" xfId="0" applyFont="1" applyBorder="1" applyAlignment="1" applyProtection="1">
      <alignment horizontal="center"/>
    </xf>
    <xf numFmtId="0" fontId="41" fillId="0" borderId="0" xfId="0" applyFont="1" applyBorder="1" applyAlignment="1" applyProtection="1">
      <alignment horizontal="center" vertical="top"/>
    </xf>
    <xf numFmtId="0" fontId="41" fillId="0" borderId="0" xfId="0" applyFont="1" applyBorder="1" applyAlignment="1" applyProtection="1">
      <alignment horizontal="right" vertical="center"/>
    </xf>
    <xf numFmtId="169" fontId="2" fillId="25" borderId="18" xfId="68" applyFont="1" applyFill="1" applyBorder="1" applyAlignment="1" applyProtection="1">
      <alignment horizontal="left"/>
      <protection locked="0"/>
    </xf>
    <xf numFmtId="169" fontId="2" fillId="25" borderId="13" xfId="68" applyFont="1" applyFill="1" applyBorder="1" applyAlignment="1" applyProtection="1">
      <alignment horizontal="left"/>
      <protection locked="0"/>
    </xf>
    <xf numFmtId="169" fontId="2" fillId="25" borderId="38" xfId="68" applyFont="1" applyFill="1" applyBorder="1" applyAlignment="1" applyProtection="1">
      <alignment horizontal="left"/>
      <protection locked="0"/>
    </xf>
    <xf numFmtId="0" fontId="1" fillId="0" borderId="18" xfId="71" applyFont="1" applyFill="1" applyBorder="1" applyAlignment="1" applyProtection="1">
      <alignment horizontal="center" vertical="top" wrapText="1"/>
    </xf>
    <xf numFmtId="0" fontId="1" fillId="0" borderId="38" xfId="71" applyFont="1" applyFill="1" applyBorder="1" applyAlignment="1" applyProtection="1">
      <alignment horizontal="center" vertical="top" wrapText="1"/>
    </xf>
    <xf numFmtId="0" fontId="1" fillId="0" borderId="18" xfId="71" applyFont="1" applyFill="1" applyBorder="1" applyAlignment="1" applyProtection="1">
      <alignment horizontal="left" vertical="top" wrapText="1"/>
    </xf>
    <xf numFmtId="0" fontId="1" fillId="0" borderId="38" xfId="71" applyFont="1" applyFill="1" applyBorder="1" applyAlignment="1" applyProtection="1">
      <alignment horizontal="left" vertical="top" wrapText="1"/>
    </xf>
    <xf numFmtId="49" fontId="1" fillId="0" borderId="18" xfId="71" applyNumberFormat="1" applyFont="1" applyFill="1" applyBorder="1" applyAlignment="1" applyProtection="1">
      <alignment horizontal="left" vertical="top" wrapText="1"/>
    </xf>
    <xf numFmtId="0" fontId="1" fillId="0" borderId="13" xfId="71" applyNumberFormat="1" applyFont="1" applyFill="1" applyBorder="1" applyAlignment="1" applyProtection="1">
      <alignment horizontal="left" vertical="top" wrapText="1"/>
    </xf>
    <xf numFmtId="0" fontId="1" fillId="0" borderId="38" xfId="71" applyNumberFormat="1" applyFont="1" applyFill="1" applyBorder="1" applyAlignment="1" applyProtection="1">
      <alignment horizontal="left" vertical="top" wrapText="1"/>
    </xf>
    <xf numFmtId="0" fontId="2" fillId="0" borderId="16" xfId="68" applyNumberFormat="1" applyFont="1" applyFill="1" applyBorder="1" applyAlignment="1" applyProtection="1">
      <alignment horizontal="left" wrapText="1"/>
    </xf>
    <xf numFmtId="0" fontId="22" fillId="0" borderId="0" xfId="71" applyFont="1" applyBorder="1" applyAlignment="1" applyProtection="1">
      <alignment horizontal="left" vertical="center"/>
    </xf>
    <xf numFmtId="10" fontId="2" fillId="25" borderId="14" xfId="71" applyNumberFormat="1" applyFont="1" applyFill="1" applyBorder="1" applyAlignment="1" applyProtection="1">
      <alignment horizontal="center"/>
      <protection locked="0"/>
    </xf>
    <xf numFmtId="0" fontId="2" fillId="0" borderId="14" xfId="71" applyFont="1" applyFill="1" applyBorder="1" applyAlignment="1" applyProtection="1">
      <alignment horizontal="left"/>
    </xf>
    <xf numFmtId="0" fontId="26" fillId="0" borderId="14" xfId="71" applyFont="1" applyBorder="1" applyAlignment="1" applyProtection="1">
      <alignment horizontal="center" vertical="center"/>
    </xf>
    <xf numFmtId="0" fontId="2" fillId="0" borderId="14" xfId="71" applyFont="1" applyFill="1" applyBorder="1" applyAlignment="1" applyProtection="1">
      <alignment horizontal="left" wrapText="1"/>
    </xf>
    <xf numFmtId="0" fontId="26" fillId="0" borderId="14" xfId="71" applyFont="1" applyFill="1" applyBorder="1" applyAlignment="1" applyProtection="1">
      <alignment horizontal="center" vertical="center"/>
    </xf>
    <xf numFmtId="4" fontId="26" fillId="0" borderId="14" xfId="71" applyNumberFormat="1" applyFont="1" applyFill="1" applyBorder="1" applyAlignment="1" applyProtection="1">
      <alignment horizontal="center" vertical="center" wrapText="1"/>
    </xf>
    <xf numFmtId="0" fontId="1" fillId="0" borderId="14" xfId="0" applyFont="1" applyBorder="1" applyAlignment="1">
      <alignment horizontal="center"/>
    </xf>
    <xf numFmtId="0" fontId="26" fillId="0" borderId="32" xfId="0" applyFont="1" applyFill="1" applyBorder="1" applyAlignment="1" applyProtection="1">
      <alignment horizontal="left" wrapText="1"/>
    </xf>
    <xf numFmtId="0" fontId="26" fillId="0" borderId="10" xfId="0" applyFont="1" applyFill="1" applyBorder="1" applyAlignment="1" applyProtection="1">
      <alignment horizontal="left" wrapText="1"/>
    </xf>
    <xf numFmtId="0" fontId="26" fillId="0" borderId="19" xfId="0" applyFont="1" applyFill="1" applyBorder="1" applyAlignment="1" applyProtection="1">
      <alignment horizontal="left" wrapText="1"/>
    </xf>
    <xf numFmtId="0" fontId="30" fillId="25" borderId="11" xfId="0" applyFont="1" applyFill="1" applyBorder="1" applyAlignment="1" applyProtection="1">
      <alignment horizontal="left" wrapText="1"/>
      <protection locked="0"/>
    </xf>
    <xf numFmtId="0" fontId="30" fillId="25" borderId="0" xfId="0" applyFont="1" applyFill="1" applyBorder="1" applyAlignment="1" applyProtection="1">
      <alignment horizontal="left" wrapText="1"/>
      <protection locked="0"/>
    </xf>
    <xf numFmtId="0" fontId="30" fillId="25" borderId="12" xfId="0" applyFont="1" applyFill="1" applyBorder="1" applyAlignment="1" applyProtection="1">
      <alignment horizontal="left" wrapText="1"/>
      <protection locked="0"/>
    </xf>
    <xf numFmtId="0" fontId="30" fillId="25" borderId="18" xfId="0" applyFont="1" applyFill="1" applyBorder="1" applyAlignment="1" applyProtection="1">
      <alignment horizontal="left" wrapText="1"/>
      <protection locked="0"/>
    </xf>
    <xf numFmtId="0" fontId="30" fillId="25" borderId="13" xfId="0" applyFont="1" applyFill="1" applyBorder="1" applyAlignment="1" applyProtection="1">
      <alignment horizontal="left" wrapText="1"/>
      <protection locked="0"/>
    </xf>
    <xf numFmtId="0" fontId="30" fillId="25" borderId="38" xfId="0" applyFont="1" applyFill="1" applyBorder="1" applyAlignment="1" applyProtection="1">
      <alignment horizontal="left" wrapText="1"/>
      <protection locked="0"/>
    </xf>
    <xf numFmtId="0" fontId="30" fillId="0" borderId="32" xfId="0" applyFont="1" applyBorder="1" applyAlignment="1" applyProtection="1">
      <alignment horizontal="left" vertical="center"/>
      <protection locked="0"/>
    </xf>
    <xf numFmtId="0" fontId="30" fillId="0" borderId="10" xfId="0" applyFont="1" applyBorder="1" applyAlignment="1" applyProtection="1">
      <alignment horizontal="left" vertical="center"/>
      <protection locked="0"/>
    </xf>
    <xf numFmtId="0" fontId="30" fillId="0" borderId="19" xfId="0" applyFont="1" applyBorder="1" applyAlignment="1" applyProtection="1">
      <alignment horizontal="left" vertical="center"/>
      <protection locked="0"/>
    </xf>
    <xf numFmtId="170" fontId="1" fillId="0" borderId="0" xfId="0" applyNumberFormat="1" applyFont="1" applyBorder="1" applyAlignment="1" applyProtection="1">
      <alignment horizontal="left"/>
      <protection locked="0"/>
    </xf>
    <xf numFmtId="171" fontId="1" fillId="0" borderId="13" xfId="0" applyNumberFormat="1" applyFont="1" applyBorder="1" applyAlignment="1" applyProtection="1">
      <alignment horizontal="left"/>
      <protection locked="0"/>
    </xf>
    <xf numFmtId="171" fontId="1" fillId="0" borderId="13" xfId="0" applyNumberFormat="1" applyFont="1" applyBorder="1" applyAlignment="1" applyProtection="1">
      <alignment horizontal="left"/>
    </xf>
    <xf numFmtId="170" fontId="1" fillId="0" borderId="13" xfId="0" applyNumberFormat="1" applyFont="1" applyBorder="1" applyAlignment="1" applyProtection="1">
      <alignment horizontal="left"/>
    </xf>
    <xf numFmtId="0" fontId="49" fillId="0" borderId="0" xfId="0" applyFont="1" applyAlignment="1" applyProtection="1">
      <alignment horizontal="center" vertical="top" wrapText="1"/>
    </xf>
    <xf numFmtId="4" fontId="30" fillId="30" borderId="28" xfId="0" applyNumberFormat="1" applyFont="1" applyFill="1" applyBorder="1" applyAlignment="1" applyProtection="1">
      <alignment horizontal="center" vertical="center"/>
    </xf>
    <xf numFmtId="4" fontId="30" fillId="30" borderId="15" xfId="0" applyNumberFormat="1" applyFont="1" applyFill="1" applyBorder="1" applyAlignment="1" applyProtection="1">
      <alignment horizontal="center" vertical="center"/>
    </xf>
    <xf numFmtId="0" fontId="30" fillId="30" borderId="37" xfId="0" applyFont="1" applyFill="1" applyBorder="1" applyAlignment="1" applyProtection="1">
      <alignment horizontal="center" vertical="center" wrapText="1"/>
    </xf>
    <xf numFmtId="0" fontId="30" fillId="30" borderId="12" xfId="0" applyFont="1" applyFill="1" applyBorder="1" applyAlignment="1" applyProtection="1">
      <alignment horizontal="center" vertical="center" wrapText="1"/>
    </xf>
    <xf numFmtId="168" fontId="1" fillId="0" borderId="0" xfId="0" applyNumberFormat="1" applyFont="1" applyFill="1" applyBorder="1" applyAlignment="1" applyProtection="1">
      <alignment horizontal="left"/>
    </xf>
    <xf numFmtId="49" fontId="1" fillId="0" borderId="0" xfId="0" applyNumberFormat="1" applyFont="1" applyFill="1" applyBorder="1" applyAlignment="1" applyProtection="1">
      <alignment horizontal="left"/>
    </xf>
    <xf numFmtId="0" fontId="1" fillId="0" borderId="0" xfId="0" applyFont="1" applyFill="1" applyBorder="1" applyAlignment="1" applyProtection="1">
      <alignment horizontal="left"/>
    </xf>
    <xf numFmtId="171" fontId="1" fillId="0" borderId="13" xfId="0" applyNumberFormat="1" applyFont="1" applyFill="1" applyBorder="1" applyAlignment="1" applyProtection="1">
      <alignment horizontal="left" vertical="center"/>
    </xf>
    <xf numFmtId="170" fontId="1" fillId="0" borderId="13" xfId="0" applyNumberFormat="1" applyFont="1" applyBorder="1" applyAlignment="1" applyProtection="1">
      <alignment horizontal="left" vertical="center"/>
    </xf>
    <xf numFmtId="0" fontId="30" fillId="30" borderId="36" xfId="0" applyFont="1" applyFill="1" applyBorder="1" applyAlignment="1" applyProtection="1">
      <alignment horizontal="center" vertical="center" shrinkToFit="1"/>
    </xf>
    <xf numFmtId="0" fontId="30" fillId="30" borderId="11" xfId="0" applyFont="1" applyFill="1" applyBorder="1" applyAlignment="1" applyProtection="1">
      <alignment horizontal="center" vertical="center" shrinkToFit="1"/>
    </xf>
    <xf numFmtId="0" fontId="26" fillId="24" borderId="21" xfId="0" applyFont="1" applyFill="1" applyBorder="1" applyAlignment="1" applyProtection="1">
      <alignment horizontal="center" vertical="center" wrapText="1"/>
    </xf>
    <xf numFmtId="0" fontId="26" fillId="24" borderId="39" xfId="0" applyFont="1" applyFill="1" applyBorder="1" applyAlignment="1" applyProtection="1">
      <alignment horizontal="center" vertical="center" wrapText="1"/>
    </xf>
    <xf numFmtId="0" fontId="26" fillId="24" borderId="11" xfId="0" applyFont="1" applyFill="1" applyBorder="1" applyAlignment="1" applyProtection="1">
      <alignment horizontal="center" vertical="center" wrapText="1"/>
    </xf>
    <xf numFmtId="0" fontId="26" fillId="24" borderId="12" xfId="0" applyFont="1" applyFill="1" applyBorder="1" applyAlignment="1" applyProtection="1">
      <alignment horizontal="center" vertical="center" wrapText="1"/>
    </xf>
    <xf numFmtId="0" fontId="26" fillId="24" borderId="18" xfId="0" applyFont="1" applyFill="1" applyBorder="1" applyAlignment="1" applyProtection="1">
      <alignment horizontal="center" vertical="center" wrapText="1"/>
    </xf>
    <xf numFmtId="0" fontId="26" fillId="24" borderId="38" xfId="0" applyFont="1" applyFill="1" applyBorder="1" applyAlignment="1" applyProtection="1">
      <alignment horizontal="center" vertical="center" wrapText="1"/>
    </xf>
    <xf numFmtId="4" fontId="26" fillId="24" borderId="30" xfId="0" applyNumberFormat="1" applyFont="1" applyFill="1" applyBorder="1" applyAlignment="1" applyProtection="1">
      <alignment horizontal="center" vertical="center" shrinkToFit="1"/>
    </xf>
    <xf numFmtId="4" fontId="26" fillId="24" borderId="15" xfId="0" applyNumberFormat="1" applyFont="1" applyFill="1" applyBorder="1" applyAlignment="1" applyProtection="1">
      <alignment horizontal="center" vertical="center" shrinkToFit="1"/>
    </xf>
    <xf numFmtId="4" fontId="26" fillId="24" borderId="16" xfId="0" applyNumberFormat="1" applyFont="1" applyFill="1" applyBorder="1" applyAlignment="1" applyProtection="1">
      <alignment horizontal="center" vertical="center" shrinkToFit="1"/>
    </xf>
  </cellXfs>
  <cellStyles count="8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xfId="7" builtinId="30" customBuiltin="1"/>
    <cellStyle name="20% - Ênfase2" xfId="8" builtinId="34" customBuiltin="1"/>
    <cellStyle name="20% - Ênfase3" xfId="9" builtinId="38" customBuiltin="1"/>
    <cellStyle name="20% - Ênfase4" xfId="10" builtinId="42" customBuiltin="1"/>
    <cellStyle name="20% - Ênfase5" xfId="11" builtinId="46" customBuiltin="1"/>
    <cellStyle name="20% - Ênfase6" xfId="12" builtinId="50" customBuiltin="1"/>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xfId="19" builtinId="31" customBuiltin="1"/>
    <cellStyle name="40% - Ênfase2" xfId="20" builtinId="35" customBuiltin="1"/>
    <cellStyle name="40% - Ênfase3" xfId="21" builtinId="39" customBuiltin="1"/>
    <cellStyle name="40% - Ênfase4" xfId="22" builtinId="43" customBuiltin="1"/>
    <cellStyle name="40% - Ênfase5" xfId="23" builtinId="47" customBuiltin="1"/>
    <cellStyle name="40% - Ênfase6" xfId="24" builtinId="51" customBuiltin="1"/>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xfId="31" builtinId="32" customBuiltin="1"/>
    <cellStyle name="60% - Ênfase2" xfId="32" builtinId="36" customBuiltin="1"/>
    <cellStyle name="60% - Ênfase3" xfId="33" builtinId="40" customBuiltin="1"/>
    <cellStyle name="60% - Ênfase4" xfId="34" builtinId="44" customBuiltin="1"/>
    <cellStyle name="60% - Ênfase5" xfId="35" builtinId="48" customBuiltin="1"/>
    <cellStyle name="60% - Ênfase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xfId="44" builtinId="26" customBuiltin="1"/>
    <cellStyle name="Calculation" xfId="45" xr:uid="{00000000-0005-0000-0000-00002C000000}"/>
    <cellStyle name="Cálculo" xfId="46" builtinId="22" customBuiltin="1"/>
    <cellStyle name="Célula de Verificação" xfId="47" builtinId="23" customBuiltin="1"/>
    <cellStyle name="Célula Vinculada" xfId="48" builtinId="24" customBuiltin="1"/>
    <cellStyle name="Check Cell" xfId="49" xr:uid="{00000000-0005-0000-0000-000030000000}"/>
    <cellStyle name="Ênfase1" xfId="50" builtinId="29" customBuiltin="1"/>
    <cellStyle name="Ênfase2" xfId="51" builtinId="33" customBuiltin="1"/>
    <cellStyle name="Ênfase3" xfId="52" builtinId="37" customBuiltin="1"/>
    <cellStyle name="Ênfase4" xfId="53" builtinId="41" customBuiltin="1"/>
    <cellStyle name="Ênfase5" xfId="54" builtinId="45" customBuiltin="1"/>
    <cellStyle name="Ênfase6" xfId="55" builtinId="49" customBuiltin="1"/>
    <cellStyle name="Entrada" xfId="56" builtinId="20" customBuiltin="1"/>
    <cellStyle name="Excel Built-in Normal" xfId="57" xr:uid="{00000000-0005-0000-0000-000038000000}"/>
    <cellStyle name="Explanatory Text" xfId="58" xr:uid="{00000000-0005-0000-0000-000039000000}"/>
    <cellStyle name="Good"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5" xr:uid="{00000000-0005-0000-0000-000040000000}"/>
    <cellStyle name="Linked Cell" xfId="66" xr:uid="{00000000-0005-0000-0000-000041000000}"/>
    <cellStyle name="Moeda 2" xfId="67" xr:uid="{00000000-0005-0000-0000-000042000000}"/>
    <cellStyle name="Moeda_Composicao BDI v2.1" xfId="68" xr:uid="{00000000-0005-0000-0000-000043000000}"/>
    <cellStyle name="Neutral" xfId="70" xr:uid="{00000000-0005-0000-0000-000045000000}"/>
    <cellStyle name="Neutro" xfId="69" builtinId="28" customBuiltin="1"/>
    <cellStyle name="Normal" xfId="0" builtinId="0"/>
    <cellStyle name="Normal 2" xfId="71" xr:uid="{00000000-0005-0000-0000-000047000000}"/>
    <cellStyle name="Normal_FICHA DE VERIFICAÇÃO PRELIMINAR - Plano R" xfId="72" xr:uid="{00000000-0005-0000-0000-000048000000}"/>
    <cellStyle name="Nota" xfId="73" builtinId="10" customBuiltin="1"/>
    <cellStyle name="Note" xfId="74" xr:uid="{00000000-0005-0000-0000-00004A000000}"/>
    <cellStyle name="Output" xfId="75" xr:uid="{00000000-0005-0000-0000-00004B000000}"/>
    <cellStyle name="Porcentagem" xfId="76" builtinId="5"/>
    <cellStyle name="Ruim" xfId="64" builtinId="27" customBuiltin="1"/>
    <cellStyle name="Saída" xfId="77" builtinId="21" customBuiltin="1"/>
    <cellStyle name="Texto de Aviso" xfId="78" builtinId="11" customBuiltin="1"/>
    <cellStyle name="Texto Explicativo" xfId="79" builtinId="53" customBuiltin="1"/>
    <cellStyle name="Title" xfId="80" xr:uid="{00000000-0005-0000-0000-000050000000}"/>
    <cellStyle name="Título" xfId="81" builtinId="15" customBuiltin="1"/>
    <cellStyle name="Título 1" xfId="82" builtinId="16" customBuiltin="1"/>
    <cellStyle name="Título 2" xfId="83" builtinId="17" customBuiltin="1"/>
    <cellStyle name="Título 3" xfId="84" builtinId="18" customBuiltin="1"/>
    <cellStyle name="Título 4" xfId="85" builtinId="19" customBuiltin="1"/>
    <cellStyle name="Total" xfId="86" builtinId="25" customBuiltin="1"/>
    <cellStyle name="Vírgula" xfId="87" builtinId="3"/>
    <cellStyle name="Warning Text" xfId="88" xr:uid="{00000000-0005-0000-0000-000058000000}"/>
  </cellStyles>
  <dxfs count="228">
    <dxf>
      <border>
        <bottom style="thin">
          <color indexed="64"/>
        </bottom>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border>
        <bottom style="thin">
          <color indexed="64"/>
        </bottom>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font>
      <fill>
        <patternFill>
          <bgColor indexed="55"/>
        </patternFill>
      </fill>
      <border>
        <top style="thin">
          <color indexed="64"/>
        </top>
      </border>
    </dxf>
    <dxf>
      <font>
        <condense val="0"/>
        <extend val="0"/>
        <color indexed="9"/>
      </font>
      <fill>
        <patternFill patternType="none">
          <bgColor indexed="65"/>
        </patternFill>
      </fill>
      <border>
        <left/>
        <right/>
        <top/>
        <bottom/>
      </border>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border>
        <top style="thin">
          <color indexed="64"/>
        </top>
      </border>
    </dxf>
    <dxf>
      <fill>
        <patternFill>
          <bgColor indexed="55"/>
        </patternFill>
      </fill>
    </dxf>
    <dxf>
      <font>
        <b/>
        <i val="0"/>
      </font>
      <fill>
        <patternFill>
          <bgColor indexed="55"/>
        </patternFill>
      </fill>
      <border>
        <top style="thin">
          <color indexed="64"/>
        </top>
      </border>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ont>
        <condense val="0"/>
        <extend val="0"/>
        <color indexed="47"/>
      </font>
      <fill>
        <patternFill>
          <bgColor indexed="47"/>
        </patternFill>
      </fill>
    </dxf>
    <dxf>
      <font>
        <b/>
        <i val="0"/>
      </font>
      <fill>
        <patternFill>
          <bgColor indexed="47"/>
        </patternFill>
      </fill>
    </dxf>
    <dxf>
      <font>
        <b/>
        <i val="0"/>
      </font>
      <fill>
        <patternFill>
          <bgColor indexed="55"/>
        </patternFill>
      </fill>
    </dxf>
    <dxf>
      <font>
        <b/>
        <i val="0"/>
      </font>
      <fill>
        <patternFill>
          <bgColor indexed="47"/>
        </patternFill>
      </fill>
    </dxf>
    <dxf>
      <font>
        <b/>
        <i val="0"/>
      </font>
      <fill>
        <patternFill>
          <bgColor indexed="55"/>
        </patternFill>
      </fill>
    </dxf>
    <dxf>
      <font>
        <b/>
        <i val="0"/>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ont>
        <condense val="0"/>
        <extend val="0"/>
        <color indexed="47"/>
      </font>
      <fill>
        <patternFill>
          <bgColor indexed="47"/>
        </patternFill>
      </fill>
    </dxf>
    <dxf>
      <font>
        <b/>
        <i val="0"/>
      </font>
      <fill>
        <patternFill>
          <bgColor indexed="47"/>
        </patternFill>
      </fill>
    </dxf>
    <dxf>
      <font>
        <b/>
        <i val="0"/>
      </font>
      <fill>
        <patternFill>
          <bgColor indexed="55"/>
        </patternFill>
      </fill>
    </dxf>
    <dxf>
      <font>
        <b/>
        <i val="0"/>
      </font>
      <fill>
        <patternFill>
          <bgColor indexed="47"/>
        </patternFill>
      </fill>
    </dxf>
    <dxf>
      <font>
        <b/>
        <i val="0"/>
      </font>
      <fill>
        <patternFill>
          <bgColor indexed="55"/>
        </patternFill>
      </fill>
    </dxf>
    <dxf>
      <font>
        <b/>
        <i val="0"/>
        <condense val="0"/>
        <extend val="0"/>
        <color indexed="47"/>
      </font>
      <fill>
        <patternFill>
          <bgColor indexed="47"/>
        </patternFill>
      </fill>
    </dxf>
    <dxf>
      <font>
        <b/>
        <i val="0"/>
        <condense val="0"/>
        <extend val="0"/>
        <color indexed="55"/>
      </font>
      <fill>
        <patternFill>
          <bgColor indexed="55"/>
        </patternFill>
      </fill>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patternType="none">
          <bgColor indexed="65"/>
        </patternFill>
      </fill>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bgColor theme="0"/>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condense val="0"/>
        <extend val="0"/>
        <color indexed="47"/>
      </font>
      <fill>
        <patternFill>
          <bgColor indexed="47"/>
        </patternFill>
      </fill>
    </dxf>
    <dxf>
      <font>
        <b/>
        <i val="0"/>
      </font>
      <fill>
        <patternFill>
          <bgColor indexed="47"/>
        </patternFill>
      </fill>
    </dxf>
    <dxf>
      <font>
        <b/>
        <i val="0"/>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patternType="none">
          <bgColor indexed="65"/>
        </patternFill>
      </fill>
    </dxf>
    <dxf>
      <fill>
        <patternFill>
          <bgColor indexed="43"/>
        </patternFill>
      </fill>
    </dxf>
    <dxf>
      <font>
        <condense val="0"/>
        <extend val="0"/>
        <color indexed="9"/>
      </font>
      <fill>
        <patternFill patternType="none">
          <bgColor indexed="65"/>
        </patternFill>
      </fill>
      <border>
        <left/>
        <right/>
        <top/>
        <bottom/>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bgColor theme="0"/>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condense val="0"/>
        <extend val="0"/>
        <color indexed="47"/>
      </font>
      <fill>
        <patternFill>
          <bgColor indexed="47"/>
        </patternFill>
      </fill>
    </dxf>
    <dxf>
      <font>
        <b/>
        <i val="0"/>
      </font>
      <fill>
        <patternFill>
          <bgColor indexed="47"/>
        </patternFill>
      </fill>
    </dxf>
    <dxf>
      <font>
        <b/>
        <i val="0"/>
      </font>
      <fill>
        <patternFill>
          <bgColor indexed="55"/>
        </patternFill>
      </fill>
      <border>
        <top style="thin">
          <color indexed="64"/>
        </top>
      </border>
    </dxf>
    <dxf>
      <font>
        <b/>
        <i val="0"/>
      </font>
      <fill>
        <patternFill>
          <bgColor rgb="FFC0C0C0"/>
        </patternFill>
      </fill>
    </dxf>
    <dxf>
      <font>
        <b/>
        <i val="0"/>
      </font>
      <fill>
        <patternFill>
          <bgColor rgb="FF969696"/>
        </patternFill>
      </fill>
    </dxf>
    <dxf>
      <font>
        <color theme="1"/>
      </font>
    </dxf>
    <dxf>
      <font>
        <b/>
        <i val="0"/>
      </font>
      <fill>
        <patternFill>
          <bgColor rgb="FFC0C0C0"/>
        </patternFill>
      </fill>
    </dxf>
    <dxf>
      <font>
        <b/>
        <i val="0"/>
      </font>
      <fill>
        <patternFill>
          <bgColor rgb="FF969696"/>
        </patternFill>
      </fill>
    </dxf>
    <dxf>
      <font>
        <color theme="0"/>
      </font>
      <fill>
        <patternFill patternType="none">
          <bgColor indexed="65"/>
        </patternFill>
      </fill>
    </dxf>
    <dxf>
      <font>
        <color theme="0"/>
      </font>
      <fill>
        <patternFill>
          <bgColor theme="0"/>
        </patternFill>
      </fill>
      <border>
        <left/>
        <right/>
        <top/>
        <bottom/>
      </border>
    </dxf>
    <dxf>
      <fill>
        <patternFill>
          <bgColor rgb="FFFFFF9E"/>
        </patternFill>
      </fill>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ill>
        <patternFill>
          <bgColor rgb="FFFFFF9E"/>
        </patternFill>
      </fill>
    </dxf>
    <dxf>
      <fill>
        <patternFill patternType="none">
          <bgColor indexed="65"/>
        </patternFill>
      </fill>
    </dxf>
    <dxf>
      <fill>
        <patternFill patternType="none">
          <bgColor indexed="65"/>
        </patternFill>
      </fill>
    </dxf>
    <dxf>
      <font>
        <condense val="0"/>
        <extend val="0"/>
        <color indexed="9"/>
      </font>
      <fill>
        <patternFill patternType="none">
          <bgColor indexed="65"/>
        </patternFill>
      </fill>
      <border>
        <left/>
        <right/>
        <top/>
        <bottom/>
      </border>
    </dxf>
    <dxf>
      <fill>
        <patternFill patternType="none">
          <bgColor indexed="65"/>
        </patternFill>
      </fill>
    </dxf>
    <dxf>
      <font>
        <condense val="0"/>
        <extend val="0"/>
        <color indexed="9"/>
      </font>
      <fill>
        <patternFill patternType="none">
          <bgColor indexed="65"/>
        </patternFill>
      </fill>
      <border>
        <left/>
        <right/>
        <top/>
        <bottom/>
      </border>
    </dxf>
    <dxf>
      <font>
        <condense val="0"/>
        <extend val="0"/>
        <color indexed="9"/>
      </font>
      <fill>
        <patternFill>
          <bgColor indexed="9"/>
        </patternFill>
      </fill>
      <border>
        <left/>
        <right/>
        <top/>
        <bottom/>
      </border>
    </dxf>
    <dxf>
      <fill>
        <patternFill patternType="none">
          <bgColor indexed="65"/>
        </patternFill>
      </fill>
    </dxf>
    <dxf>
      <fill>
        <patternFill patternType="none">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checked="Checked" fmlaLink="$X$3" noThreeD="1"/>
</file>

<file path=xl/ctrlProps/ctrlProp4.xml><?xml version="1.0" encoding="utf-8"?>
<formControlPr xmlns="http://schemas.microsoft.com/office/spreadsheetml/2009/9/main" objectType="CheckBox" checked="Checked" fmlaLink="$X$4" noThreeD="1"/>
</file>

<file path=xl/ctrlProps/ctrlProp5.xml><?xml version="1.0" encoding="utf-8"?>
<formControlPr xmlns="http://schemas.microsoft.com/office/spreadsheetml/2009/9/main" objectType="CheckBox" checked="Checked" fmlaLink="$X$5" noThreeD="1"/>
</file>

<file path=xl/ctrlProps/ctrlProp6.xml><?xml version="1.0" encoding="utf-8"?>
<formControlPr xmlns="http://schemas.microsoft.com/office/spreadsheetml/2009/9/main" objectType="CheckBox" checked="Checked" fmlaLink="$X$6" noThreeD="1"/>
</file>

<file path=xl/ctrlProps/ctrlProp7.xml><?xml version="1.0" encoding="utf-8"?>
<formControlPr xmlns="http://schemas.microsoft.com/office/spreadsheetml/2009/9/main" objectType="CheckBox" checked="Checked" fmlaLink="$X$7"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2.emf"/></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6" Type="http://schemas.openxmlformats.org/officeDocument/2006/relationships/image" Target="../media/image2.emf"/><Relationship Id="rId5" Type="http://schemas.openxmlformats.org/officeDocument/2006/relationships/image" Target="../media/image5.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7.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6.emf"/><Relationship Id="rId5" Type="http://schemas.openxmlformats.org/officeDocument/2006/relationships/image" Target="../media/image7.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12</xdr:col>
      <xdr:colOff>495300</xdr:colOff>
      <xdr:row>12</xdr:row>
      <xdr:rowOff>85725</xdr:rowOff>
    </xdr:from>
    <xdr:to>
      <xdr:col>15</xdr:col>
      <xdr:colOff>466725</xdr:colOff>
      <xdr:row>15</xdr:row>
      <xdr:rowOff>57150</xdr:rowOff>
    </xdr:to>
    <xdr:sp macro="[0]!Importar" textlink="">
      <xdr:nvSpPr>
        <xdr:cNvPr id="2" name="ImportButton">
          <a:extLst>
            <a:ext uri="{FF2B5EF4-FFF2-40B4-BE49-F238E27FC236}">
              <a16:creationId xmlns:a16="http://schemas.microsoft.com/office/drawing/2014/main" id="{00000000-0008-0000-0000-000002000000}"/>
            </a:ext>
          </a:extLst>
        </xdr:cNvPr>
        <xdr:cNvSpPr>
          <a:spLocks noChangeArrowheads="1"/>
        </xdr:cNvSpPr>
      </xdr:nvSpPr>
      <xdr:spPr bwMode="auto">
        <a:xfrm>
          <a:off x="8077200" y="1847850"/>
          <a:ext cx="1714500" cy="457200"/>
        </a:xfrm>
        <a:prstGeom prst="rect">
          <a:avLst/>
        </a:prstGeom>
        <a:solidFill>
          <a:srgbClr val="D0CECE"/>
        </a:solidFill>
        <a:ln w="6350" algn="ctr">
          <a:solidFill>
            <a:srgbClr val="41719C"/>
          </a:solidFill>
          <a:miter lim="800000"/>
          <a:headEnd/>
          <a:tailEnd/>
        </a:ln>
        <a:effectLst>
          <a:outerShdw dist="63500" dir="2700000" algn="tl" rotWithShape="0">
            <a:srgbClr val="000000"/>
          </a:outerShdw>
        </a:effectLst>
      </xdr:spPr>
      <xdr:txBody>
        <a:bodyPr vertOverflow="clip" wrap="square" lIns="27432" tIns="27432" rIns="27432" bIns="27432" anchor="ctr" upright="1"/>
        <a:lstStyle/>
        <a:p>
          <a:pPr algn="ctr" rtl="0">
            <a:defRPr sz="1000"/>
          </a:pPr>
          <a:r>
            <a:rPr lang="pt-BR" sz="1050" b="0" i="0" u="none" strike="noStrike" baseline="0">
              <a:solidFill>
                <a:srgbClr val="000000"/>
              </a:solidFill>
              <a:latin typeface="Calibri"/>
            </a:rPr>
            <a:t>Importar PO</a:t>
          </a:r>
        </a:p>
        <a:p>
          <a:pPr algn="ctr" rtl="0">
            <a:defRPr sz="1000"/>
          </a:pPr>
          <a:r>
            <a:rPr lang="pt-BR" sz="1050" b="0" i="0" u="none" strike="noStrike" baseline="0">
              <a:solidFill>
                <a:srgbClr val="000000"/>
              </a:solidFill>
              <a:latin typeface="Calibri"/>
            </a:rPr>
            <a:t>(MO27476)</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381000</xdr:colOff>
          <xdr:row>18</xdr:row>
          <xdr:rowOff>85725</xdr:rowOff>
        </xdr:from>
        <xdr:to>
          <xdr:col>5</xdr:col>
          <xdr:colOff>228600</xdr:colOff>
          <xdr:row>20</xdr:row>
          <xdr:rowOff>47625</xdr:rowOff>
        </xdr:to>
        <xdr:sp macro="" textlink="">
          <xdr:nvSpPr>
            <xdr:cNvPr id="34202" name="OptionPLQ-ON" descr="Parcela 1" hidden="1">
              <a:extLst>
                <a:ext uri="{63B3BB69-23CF-44E3-9099-C40C66FF867C}">
                  <a14:compatExt spid="_x0000_s34202"/>
                </a:ext>
                <a:ext uri="{FF2B5EF4-FFF2-40B4-BE49-F238E27FC236}">
                  <a16:creationId xmlns:a16="http://schemas.microsoft.com/office/drawing/2014/main" id="{00000000-0008-0000-0000-00009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MÚLTIPLAS FRENTES (PREENCHIMENTO NA PLQ)</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18</xdr:row>
          <xdr:rowOff>85725</xdr:rowOff>
        </xdr:from>
        <xdr:to>
          <xdr:col>11</xdr:col>
          <xdr:colOff>142875</xdr:colOff>
          <xdr:row>20</xdr:row>
          <xdr:rowOff>47625</xdr:rowOff>
        </xdr:to>
        <xdr:sp macro="" textlink="">
          <xdr:nvSpPr>
            <xdr:cNvPr id="34203" name="OptionPLQ-OFF" descr="Parcela 1" hidden="1">
              <a:extLst>
                <a:ext uri="{63B3BB69-23CF-44E3-9099-C40C66FF867C}">
                  <a14:compatExt spid="_x0000_s34203"/>
                </a:ext>
                <a:ext uri="{FF2B5EF4-FFF2-40B4-BE49-F238E27FC236}">
                  <a16:creationId xmlns:a16="http://schemas.microsoft.com/office/drawing/2014/main" id="{00000000-0008-0000-0000-00009B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FRENTE ÚNICA (PREENCHIMENTO DIRETAMENTE NA PO)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19</xdr:col>
      <xdr:colOff>95250</xdr:colOff>
      <xdr:row>5</xdr:row>
      <xdr:rowOff>47625</xdr:rowOff>
    </xdr:from>
    <xdr:to>
      <xdr:col>19</xdr:col>
      <xdr:colOff>1152525</xdr:colOff>
      <xdr:row>7</xdr:row>
      <xdr:rowOff>142875</xdr:rowOff>
    </xdr:to>
    <xdr:sp macro="[0]!BDI_add" textlink="">
      <xdr:nvSpPr>
        <xdr:cNvPr id="2" name="FiltroButton">
          <a:extLst>
            <a:ext uri="{FF2B5EF4-FFF2-40B4-BE49-F238E27FC236}">
              <a16:creationId xmlns:a16="http://schemas.microsoft.com/office/drawing/2014/main" id="{00000000-0008-0000-0100-000002000000}"/>
            </a:ext>
          </a:extLst>
        </xdr:cNvPr>
        <xdr:cNvSpPr txBox="1">
          <a:spLocks noChangeArrowheads="1"/>
        </xdr:cNvSpPr>
      </xdr:nvSpPr>
      <xdr:spPr bwMode="auto">
        <a:xfrm>
          <a:off x="7629525" y="885825"/>
          <a:ext cx="1057275" cy="342900"/>
        </a:xfrm>
        <a:prstGeom prst="rect">
          <a:avLst/>
        </a:prstGeom>
        <a:solidFill>
          <a:srgbClr xmlns:mc="http://schemas.openxmlformats.org/markup-compatibility/2006" xmlns:a14="http://schemas.microsoft.com/office/drawing/2010/main" val="E3E3E3"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Adicionar BDI</a:t>
          </a:r>
        </a:p>
      </xdr:txBody>
    </xdr:sp>
    <xdr:clientData fPrintsWithSheet="0"/>
  </xdr:twoCellAnchor>
  <xdr:twoCellAnchor editAs="oneCell">
    <xdr:from>
      <xdr:col>8</xdr:col>
      <xdr:colOff>28575</xdr:colOff>
      <xdr:row>0</xdr:row>
      <xdr:rowOff>19050</xdr:rowOff>
    </xdr:from>
    <xdr:to>
      <xdr:col>10</xdr:col>
      <xdr:colOff>390525</xdr:colOff>
      <xdr:row>2</xdr:row>
      <xdr:rowOff>47625</xdr:rowOff>
    </xdr:to>
    <xdr:sp macro="" textlink="">
      <xdr:nvSpPr>
        <xdr:cNvPr id="156124" name="Object 476" hidden="1">
          <a:extLst>
            <a:ext uri="{63B3BB69-23CF-44E3-9099-C40C66FF867C}">
              <a14:compatExt xmlns:a14="http://schemas.microsoft.com/office/drawing/2010/main" spid="_x0000_s156124"/>
            </a:ext>
            <a:ext uri="{FF2B5EF4-FFF2-40B4-BE49-F238E27FC236}">
              <a16:creationId xmlns:a16="http://schemas.microsoft.com/office/drawing/2014/main" id="{00000000-0008-0000-0100-0000DC6102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314325</xdr:colOff>
          <xdr:row>0</xdr:row>
          <xdr:rowOff>28575</xdr:rowOff>
        </xdr:from>
        <xdr:to>
          <xdr:col>18</xdr:col>
          <xdr:colOff>19050</xdr:colOff>
          <xdr:row>2</xdr:row>
          <xdr:rowOff>57150</xdr:rowOff>
        </xdr:to>
        <xdr:pic>
          <xdr:nvPicPr>
            <xdr:cNvPr id="156569" name="SigiloPic">
              <a:extLst>
                <a:ext uri="{FF2B5EF4-FFF2-40B4-BE49-F238E27FC236}">
                  <a16:creationId xmlns:a16="http://schemas.microsoft.com/office/drawing/2014/main" id="{00000000-0008-0000-0100-000099630200}"/>
                </a:ext>
              </a:extLst>
            </xdr:cNvPr>
            <xdr:cNvPicPr>
              <a:picLocks noChangeArrowheads="1"/>
              <a:extLst>
                <a:ext uri="{84589F7E-364E-4C9E-8A38-B11213B215E9}">
                  <a14:cameraTool cellRange="PO!$T$1:$T$2" spid="_x0000_s156643"/>
                </a:ext>
              </a:extLst>
            </xdr:cNvPicPr>
          </xdr:nvPicPr>
          <xdr:blipFill>
            <a:blip xmlns:r="http://schemas.openxmlformats.org/officeDocument/2006/relationships" r:embed="rId1"/>
            <a:srcRect/>
            <a:stretch>
              <a:fillRect/>
            </a:stretch>
          </xdr:blipFill>
          <xdr:spPr bwMode="auto">
            <a:xfrm>
              <a:off x="6172200" y="285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8</xdr:col>
      <xdr:colOff>28575</xdr:colOff>
      <xdr:row>0</xdr:row>
      <xdr:rowOff>19050</xdr:rowOff>
    </xdr:from>
    <xdr:to>
      <xdr:col>10</xdr:col>
      <xdr:colOff>390525</xdr:colOff>
      <xdr:row>2</xdr:row>
      <xdr:rowOff>47625</xdr:rowOff>
    </xdr:to>
    <xdr:pic>
      <xdr:nvPicPr>
        <xdr:cNvPr id="3" name="Picture 47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9050"/>
          <a:ext cx="1790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3</xdr:row>
          <xdr:rowOff>0</xdr:rowOff>
        </xdr:from>
        <xdr:to>
          <xdr:col>19</xdr:col>
          <xdr:colOff>923925</xdr:colOff>
          <xdr:row>6</xdr:row>
          <xdr:rowOff>219075</xdr:rowOff>
        </xdr:to>
        <xdr:pic>
          <xdr:nvPicPr>
            <xdr:cNvPr id="198585" name="Picture 482">
              <a:extLst>
                <a:ext uri="{FF2B5EF4-FFF2-40B4-BE49-F238E27FC236}">
                  <a16:creationId xmlns:a16="http://schemas.microsoft.com/office/drawing/2014/main" id="{00000000-0008-0000-0200-0000B9070300}"/>
                </a:ext>
              </a:extLst>
            </xdr:cNvPr>
            <xdr:cNvPicPr>
              <a:picLocks noChangeArrowheads="1"/>
              <a:extLst>
                <a:ext uri="{84589F7E-364E-4C9E-8A38-B11213B215E9}">
                  <a14:cameraTool cellRange="DADOS!$A$220:$X$230" spid="_x0000_s201814"/>
                </a:ext>
              </a:extLst>
            </xdr:cNvPicPr>
          </xdr:nvPicPr>
          <xdr:blipFill>
            <a:blip xmlns:r="http://schemas.openxmlformats.org/officeDocument/2006/relationships" r:embed="rId1"/>
            <a:srcRect/>
            <a:stretch>
              <a:fillRect/>
            </a:stretch>
          </xdr:blipFill>
          <xdr:spPr bwMode="auto">
            <a:xfrm>
              <a:off x="581025" y="485775"/>
              <a:ext cx="13820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10</xdr:col>
      <xdr:colOff>57150</xdr:colOff>
      <xdr:row>0</xdr:row>
      <xdr:rowOff>19050</xdr:rowOff>
    </xdr:from>
    <xdr:to>
      <xdr:col>11</xdr:col>
      <xdr:colOff>1009650</xdr:colOff>
      <xdr:row>2</xdr:row>
      <xdr:rowOff>76200</xdr:rowOff>
    </xdr:to>
    <xdr:sp macro="" textlink="">
      <xdr:nvSpPr>
        <xdr:cNvPr id="185899" name="Object 5675" hidden="1">
          <a:extLst>
            <a:ext uri="{63B3BB69-23CF-44E3-9099-C40C66FF867C}">
              <a14:compatExt xmlns:a14="http://schemas.microsoft.com/office/drawing/2010/main" spid="_x0000_s185899"/>
            </a:ext>
            <a:ext uri="{FF2B5EF4-FFF2-40B4-BE49-F238E27FC236}">
              <a16:creationId xmlns:a16="http://schemas.microsoft.com/office/drawing/2014/main" id="{00000000-0008-0000-0200-00002BD602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142874</xdr:colOff>
      <xdr:row>7</xdr:row>
      <xdr:rowOff>166687</xdr:rowOff>
    </xdr:from>
    <xdr:to>
      <xdr:col>13</xdr:col>
      <xdr:colOff>1619249</xdr:colOff>
      <xdr:row>7</xdr:row>
      <xdr:rowOff>347662</xdr:rowOff>
    </xdr:to>
    <xdr:sp macro="[0]!EditarPlan" textlink="">
      <xdr:nvSpPr>
        <xdr:cNvPr id="5" name="EditarButton">
          <a:extLst>
            <a:ext uri="{FF2B5EF4-FFF2-40B4-BE49-F238E27FC236}">
              <a16:creationId xmlns:a16="http://schemas.microsoft.com/office/drawing/2014/main" id="{00000000-0008-0000-0200-000005000000}"/>
            </a:ext>
          </a:extLst>
        </xdr:cNvPr>
        <xdr:cNvSpPr txBox="1">
          <a:spLocks noChangeArrowheads="1"/>
        </xdr:cNvSpPr>
      </xdr:nvSpPr>
      <xdr:spPr bwMode="auto">
        <a:xfrm>
          <a:off x="3667124" y="1905000"/>
          <a:ext cx="1476375" cy="180975"/>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PLANILHA</a:t>
          </a:r>
        </a:p>
      </xdr:txBody>
    </xdr:sp>
    <xdr:clientData fPrintsWithSheet="0"/>
  </xdr:twoCellAnchor>
  <xdr:twoCellAnchor>
    <xdr:from>
      <xdr:col>13</xdr:col>
      <xdr:colOff>3762375</xdr:colOff>
      <xdr:row>7</xdr:row>
      <xdr:rowOff>166687</xdr:rowOff>
    </xdr:from>
    <xdr:to>
      <xdr:col>13</xdr:col>
      <xdr:colOff>5076826</xdr:colOff>
      <xdr:row>9</xdr:row>
      <xdr:rowOff>154779</xdr:rowOff>
    </xdr:to>
    <xdr:sp macro="[0]!licitacaouserform" textlink="">
      <xdr:nvSpPr>
        <xdr:cNvPr id="6" name="LicitButton">
          <a:extLst>
            <a:ext uri="{FF2B5EF4-FFF2-40B4-BE49-F238E27FC236}">
              <a16:creationId xmlns:a16="http://schemas.microsoft.com/office/drawing/2014/main" id="{00000000-0008-0000-0200-000006000000}"/>
            </a:ext>
          </a:extLst>
        </xdr:cNvPr>
        <xdr:cNvSpPr txBox="1">
          <a:spLocks noChangeArrowheads="1"/>
        </xdr:cNvSpPr>
      </xdr:nvSpPr>
      <xdr:spPr bwMode="auto">
        <a:xfrm>
          <a:off x="7286625" y="1905000"/>
          <a:ext cx="1314451" cy="369092"/>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LICITAR / REPROGRAMAR</a:t>
          </a:r>
        </a:p>
      </xdr:txBody>
    </xdr:sp>
    <xdr:clientData fPrintsWithSheet="0"/>
  </xdr:twoCellAnchor>
  <mc:AlternateContent xmlns:mc="http://schemas.openxmlformats.org/markup-compatibility/2006">
    <mc:Choice xmlns:a14="http://schemas.microsoft.com/office/drawing/2010/main" Requires="a14">
      <xdr:twoCellAnchor>
        <xdr:from>
          <xdr:col>13</xdr:col>
          <xdr:colOff>3686175</xdr:colOff>
          <xdr:row>41</xdr:row>
          <xdr:rowOff>0</xdr:rowOff>
        </xdr:from>
        <xdr:to>
          <xdr:col>19</xdr:col>
          <xdr:colOff>123825</xdr:colOff>
          <xdr:row>46</xdr:row>
          <xdr:rowOff>0</xdr:rowOff>
        </xdr:to>
        <xdr:pic>
          <xdr:nvPicPr>
            <xdr:cNvPr id="198588" name="Picture 483">
              <a:extLst>
                <a:ext uri="{FF2B5EF4-FFF2-40B4-BE49-F238E27FC236}">
                  <a16:creationId xmlns:a16="http://schemas.microsoft.com/office/drawing/2014/main" id="{00000000-0008-0000-0200-0000BC070300}"/>
                </a:ext>
              </a:extLst>
            </xdr:cNvPr>
            <xdr:cNvPicPr>
              <a:picLocks noChangeArrowheads="1"/>
              <a:extLst>
                <a:ext uri="{84589F7E-364E-4C9E-8A38-B11213B215E9}">
                  <a14:cameraTool cellRange="DADOS!$A$53:$K$57" spid="_x0000_s201815"/>
                </a:ext>
              </a:extLst>
            </xdr:cNvPicPr>
          </xdr:nvPicPr>
          <xdr:blipFill>
            <a:blip xmlns:r="http://schemas.openxmlformats.org/officeDocument/2006/relationships" r:embed="rId2"/>
            <a:srcRect/>
            <a:stretch>
              <a:fillRect/>
            </a:stretch>
          </xdr:blipFill>
          <xdr:spPr bwMode="auto">
            <a:xfrm>
              <a:off x="7210425" y="7553325"/>
              <a:ext cx="6391275" cy="809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13</xdr:col>
      <xdr:colOff>1976437</xdr:colOff>
      <xdr:row>7</xdr:row>
      <xdr:rowOff>166686</xdr:rowOff>
    </xdr:from>
    <xdr:to>
      <xdr:col>13</xdr:col>
      <xdr:colOff>3452812</xdr:colOff>
      <xdr:row>7</xdr:row>
      <xdr:rowOff>346686</xdr:rowOff>
    </xdr:to>
    <xdr:sp macro="[0]!fixarReferencias" textlink="">
      <xdr:nvSpPr>
        <xdr:cNvPr id="7" name="FixarButton">
          <a:extLst>
            <a:ext uri="{FF2B5EF4-FFF2-40B4-BE49-F238E27FC236}">
              <a16:creationId xmlns:a16="http://schemas.microsoft.com/office/drawing/2014/main" id="{00000000-0008-0000-0200-000007000000}"/>
            </a:ext>
          </a:extLst>
        </xdr:cNvPr>
        <xdr:cNvSpPr txBox="1">
          <a:spLocks noChangeArrowheads="1"/>
        </xdr:cNvSpPr>
      </xdr:nvSpPr>
      <xdr:spPr bwMode="auto">
        <a:xfrm>
          <a:off x="5500687" y="1904999"/>
          <a:ext cx="1476375" cy="180000"/>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FIXAR DESCRICOES</a:t>
          </a:r>
        </a:p>
      </xdr:txBody>
    </xdr:sp>
    <xdr:clientData fPrintsWithSheet="0"/>
  </xdr:twoCellAnchor>
  <xdr:twoCellAnchor>
    <xdr:from>
      <xdr:col>11</xdr:col>
      <xdr:colOff>378619</xdr:colOff>
      <xdr:row>7</xdr:row>
      <xdr:rowOff>164306</xdr:rowOff>
    </xdr:from>
    <xdr:to>
      <xdr:col>12</xdr:col>
      <xdr:colOff>807244</xdr:colOff>
      <xdr:row>7</xdr:row>
      <xdr:rowOff>345281</xdr:rowOff>
    </xdr:to>
    <xdr:sp macro="[0]!buscaCodigo" textlink="">
      <xdr:nvSpPr>
        <xdr:cNvPr id="8" name="BuscarButton">
          <a:extLst>
            <a:ext uri="{FF2B5EF4-FFF2-40B4-BE49-F238E27FC236}">
              <a16:creationId xmlns:a16="http://schemas.microsoft.com/office/drawing/2014/main" id="{00000000-0008-0000-0200-000008000000}"/>
            </a:ext>
          </a:extLst>
        </xdr:cNvPr>
        <xdr:cNvSpPr txBox="1">
          <a:spLocks noChangeArrowheads="1"/>
        </xdr:cNvSpPr>
      </xdr:nvSpPr>
      <xdr:spPr bwMode="auto">
        <a:xfrm>
          <a:off x="1807369" y="1902619"/>
          <a:ext cx="1476375" cy="180975"/>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BUSCAR CÓDIGO</a:t>
          </a:r>
        </a:p>
      </xdr:txBody>
    </xdr:sp>
    <xdr:clientData fPrintsWithSheet="0"/>
  </xdr:twoCellAnchor>
  <xdr:twoCellAnchor editAs="oneCell">
    <xdr:from>
      <xdr:col>14</xdr:col>
      <xdr:colOff>714374</xdr:colOff>
      <xdr:row>6</xdr:row>
      <xdr:rowOff>285748</xdr:rowOff>
    </xdr:from>
    <xdr:to>
      <xdr:col>19</xdr:col>
      <xdr:colOff>1047748</xdr:colOff>
      <xdr:row>7</xdr:row>
      <xdr:rowOff>330852</xdr:rowOff>
    </xdr:to>
    <xdr:sp macro="" textlink="">
      <xdr:nvSpPr>
        <xdr:cNvPr id="9" name="TextBoxArred">
          <a:extLst>
            <a:ext uri="{FF2B5EF4-FFF2-40B4-BE49-F238E27FC236}">
              <a16:creationId xmlns:a16="http://schemas.microsoft.com/office/drawing/2014/main" id="{00000000-0008-0000-0200-000009000000}"/>
            </a:ext>
          </a:extLst>
        </xdr:cNvPr>
        <xdr:cNvSpPr txBox="1">
          <a:spLocks noChangeArrowheads="1"/>
        </xdr:cNvSpPr>
      </xdr:nvSpPr>
      <xdr:spPr bwMode="auto">
        <a:xfrm flipH="1">
          <a:off x="9620249" y="1714498"/>
          <a:ext cx="4905374" cy="354667"/>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22860" rIns="27432" bIns="0" anchor="t" upright="1"/>
        <a:lstStyle/>
        <a:p>
          <a:pPr algn="ctr" rtl="0">
            <a:defRPr sz="1000"/>
          </a:pPr>
          <a:r>
            <a:rPr lang="pt-BR" sz="1000" b="0" i="0" u="none" strike="noStrike" baseline="0">
              <a:solidFill>
                <a:srgbClr val="000000"/>
              </a:solidFill>
              <a:latin typeface="Arial"/>
              <a:cs typeface="Arial"/>
            </a:rPr>
            <a:t>Considerar valores arredondados com (0,00)</a:t>
          </a: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428625</xdr:colOff>
          <xdr:row>7</xdr:row>
          <xdr:rowOff>114300</xdr:rowOff>
        </xdr:from>
        <xdr:to>
          <xdr:col>15</xdr:col>
          <xdr:colOff>847725</xdr:colOff>
          <xdr:row>7</xdr:row>
          <xdr:rowOff>342900</xdr:rowOff>
        </xdr:to>
        <xdr:sp macro="" textlink="">
          <xdr:nvSpPr>
            <xdr:cNvPr id="197642" name="CaixaArredQuant" hidden="1">
              <a:extLst>
                <a:ext uri="{63B3BB69-23CF-44E3-9099-C40C66FF867C}">
                  <a14:compatExt spid="_x0000_s197642"/>
                </a:ext>
                <a:ext uri="{FF2B5EF4-FFF2-40B4-BE49-F238E27FC236}">
                  <a16:creationId xmlns:a16="http://schemas.microsoft.com/office/drawing/2014/main" id="{00000000-0008-0000-0200-00000A0403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114300</xdr:rowOff>
        </xdr:from>
        <xdr:to>
          <xdr:col>16</xdr:col>
          <xdr:colOff>838200</xdr:colOff>
          <xdr:row>7</xdr:row>
          <xdr:rowOff>342900</xdr:rowOff>
        </xdr:to>
        <xdr:sp macro="" textlink="">
          <xdr:nvSpPr>
            <xdr:cNvPr id="197650" name="CaixaArredCustoUnit" hidden="1">
              <a:extLst>
                <a:ext uri="{63B3BB69-23CF-44E3-9099-C40C66FF867C}">
                  <a14:compatExt spid="_x0000_s197650"/>
                </a:ext>
                <a:ext uri="{FF2B5EF4-FFF2-40B4-BE49-F238E27FC236}">
                  <a16:creationId xmlns:a16="http://schemas.microsoft.com/office/drawing/2014/main" id="{00000000-0008-0000-0200-0000120403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7</xdr:row>
          <xdr:rowOff>114300</xdr:rowOff>
        </xdr:from>
        <xdr:to>
          <xdr:col>17</xdr:col>
          <xdr:colOff>676275</xdr:colOff>
          <xdr:row>7</xdr:row>
          <xdr:rowOff>342900</xdr:rowOff>
        </xdr:to>
        <xdr:sp macro="" textlink="">
          <xdr:nvSpPr>
            <xdr:cNvPr id="197651" name="CaixaArredBDI" hidden="1">
              <a:extLst>
                <a:ext uri="{63B3BB69-23CF-44E3-9099-C40C66FF867C}">
                  <a14:compatExt spid="_x0000_s197651"/>
                </a:ext>
                <a:ext uri="{FF2B5EF4-FFF2-40B4-BE49-F238E27FC236}">
                  <a16:creationId xmlns:a16="http://schemas.microsoft.com/office/drawing/2014/main" id="{00000000-0008-0000-0200-0000130403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xdr:row>
          <xdr:rowOff>114300</xdr:rowOff>
        </xdr:from>
        <xdr:to>
          <xdr:col>18</xdr:col>
          <xdr:colOff>752475</xdr:colOff>
          <xdr:row>7</xdr:row>
          <xdr:rowOff>342900</xdr:rowOff>
        </xdr:to>
        <xdr:sp macro="" textlink="">
          <xdr:nvSpPr>
            <xdr:cNvPr id="197652" name="CaixaArredPrecoUnit" hidden="1">
              <a:extLst>
                <a:ext uri="{63B3BB69-23CF-44E3-9099-C40C66FF867C}">
                  <a14:compatExt spid="_x0000_s197652"/>
                </a:ext>
                <a:ext uri="{FF2B5EF4-FFF2-40B4-BE49-F238E27FC236}">
                  <a16:creationId xmlns:a16="http://schemas.microsoft.com/office/drawing/2014/main" id="{00000000-0008-0000-0200-0000140403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7</xdr:row>
          <xdr:rowOff>104775</xdr:rowOff>
        </xdr:from>
        <xdr:to>
          <xdr:col>19</xdr:col>
          <xdr:colOff>838200</xdr:colOff>
          <xdr:row>7</xdr:row>
          <xdr:rowOff>333375</xdr:rowOff>
        </xdr:to>
        <xdr:sp macro="" textlink="">
          <xdr:nvSpPr>
            <xdr:cNvPr id="197660" name="CaixaArredPrecoTotal" hidden="1">
              <a:extLst>
                <a:ext uri="{63B3BB69-23CF-44E3-9099-C40C66FF867C}">
                  <a14:compatExt spid="_x0000_s197660"/>
                </a:ext>
                <a:ext uri="{FF2B5EF4-FFF2-40B4-BE49-F238E27FC236}">
                  <a16:creationId xmlns:a16="http://schemas.microsoft.com/office/drawing/2014/main" id="{00000000-0008-0000-0200-00001C04030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xdr:twoCellAnchor editAs="oneCell">
    <xdr:from>
      <xdr:col>10</xdr:col>
      <xdr:colOff>57150</xdr:colOff>
      <xdr:row>0</xdr:row>
      <xdr:rowOff>19050</xdr:rowOff>
    </xdr:from>
    <xdr:to>
      <xdr:col>11</xdr:col>
      <xdr:colOff>1009650</xdr:colOff>
      <xdr:row>2</xdr:row>
      <xdr:rowOff>76200</xdr:rowOff>
    </xdr:to>
    <xdr:pic>
      <xdr:nvPicPr>
        <xdr:cNvPr id="2" name="Picture 567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9050"/>
          <a:ext cx="18002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1104900</xdr:colOff>
      <xdr:row>1</xdr:row>
      <xdr:rowOff>190500</xdr:rowOff>
    </xdr:to>
    <xdr:sp macro="" textlink="">
      <xdr:nvSpPr>
        <xdr:cNvPr id="193696" name="Object 13472" hidden="1">
          <a:extLst>
            <a:ext uri="{63B3BB69-23CF-44E3-9099-C40C66FF867C}">
              <a14:compatExt xmlns:a14="http://schemas.microsoft.com/office/drawing/2010/main" spid="_x0000_s193696"/>
            </a:ext>
            <a:ext uri="{FF2B5EF4-FFF2-40B4-BE49-F238E27FC236}">
              <a16:creationId xmlns:a16="http://schemas.microsoft.com/office/drawing/2014/main" id="{00000000-0008-0000-0300-0000A0F402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absolute">
        <xdr:from>
          <xdr:col>1</xdr:col>
          <xdr:colOff>0</xdr:colOff>
          <xdr:row>3</xdr:row>
          <xdr:rowOff>0</xdr:rowOff>
        </xdr:from>
        <xdr:to>
          <xdr:col>4</xdr:col>
          <xdr:colOff>809625</xdr:colOff>
          <xdr:row>5</xdr:row>
          <xdr:rowOff>123825</xdr:rowOff>
        </xdr:to>
        <xdr:pic>
          <xdr:nvPicPr>
            <xdr:cNvPr id="199394" name="PIC1">
              <a:extLst>
                <a:ext uri="{FF2B5EF4-FFF2-40B4-BE49-F238E27FC236}">
                  <a16:creationId xmlns:a16="http://schemas.microsoft.com/office/drawing/2014/main" id="{00000000-0008-0000-0300-0000E20A0300}"/>
                </a:ext>
              </a:extLst>
            </xdr:cNvPr>
            <xdr:cNvPicPr>
              <a:picLocks noChangeArrowheads="1"/>
              <a:extLst>
                <a:ext uri="{84589F7E-364E-4C9E-8A38-B11213B215E9}">
                  <a14:cameraTool cellRange="DADOS!$A$220:$X$230" spid="_x0000_s204808"/>
                </a:ext>
              </a:extLst>
            </xdr:cNvPicPr>
          </xdr:nvPicPr>
          <xdr:blipFill>
            <a:blip xmlns:r="http://schemas.openxmlformats.org/officeDocument/2006/relationships" r:embed="rId1"/>
            <a:srcRect r="56371"/>
            <a:stretch>
              <a:fillRect/>
            </a:stretch>
          </xdr:blipFill>
          <xdr:spPr bwMode="auto">
            <a:xfrm>
              <a:off x="847725" y="581025"/>
              <a:ext cx="6076950"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3</xdr:row>
          <xdr:rowOff>0</xdr:rowOff>
        </xdr:from>
        <xdr:to>
          <xdr:col>14</xdr:col>
          <xdr:colOff>771525</xdr:colOff>
          <xdr:row>5</xdr:row>
          <xdr:rowOff>123825</xdr:rowOff>
        </xdr:to>
        <xdr:pic>
          <xdr:nvPicPr>
            <xdr:cNvPr id="199395" name="PIC2">
              <a:extLst>
                <a:ext uri="{FF2B5EF4-FFF2-40B4-BE49-F238E27FC236}">
                  <a16:creationId xmlns:a16="http://schemas.microsoft.com/office/drawing/2014/main" id="{00000000-0008-0000-0300-0000E30A0300}"/>
                </a:ext>
              </a:extLst>
            </xdr:cNvPr>
            <xdr:cNvPicPr>
              <a:picLocks noChangeArrowheads="1"/>
              <a:extLst>
                <a:ext uri="{84589F7E-364E-4C9E-8A38-B11213B215E9}">
                  <a14:cameraTool cellRange="DADOS!$A$220:$X$230" spid="_x0000_s204809"/>
                </a:ext>
              </a:extLst>
            </xdr:cNvPicPr>
          </xdr:nvPicPr>
          <xdr:blipFill>
            <a:blip xmlns:r="http://schemas.openxmlformats.org/officeDocument/2006/relationships" r:embed="rId1"/>
            <a:srcRect l="44028"/>
            <a:stretch>
              <a:fillRect/>
            </a:stretch>
          </xdr:blipFill>
          <xdr:spPr bwMode="auto">
            <a:xfrm>
              <a:off x="6962775" y="581025"/>
              <a:ext cx="7800975"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28575</xdr:colOff>
      <xdr:row>8</xdr:row>
      <xdr:rowOff>123825</xdr:rowOff>
    </xdr:from>
    <xdr:to>
      <xdr:col>4</xdr:col>
      <xdr:colOff>800100</xdr:colOff>
      <xdr:row>8</xdr:row>
      <xdr:rowOff>638175</xdr:rowOff>
    </xdr:to>
    <xdr:sp macro="" textlink="">
      <xdr:nvSpPr>
        <xdr:cNvPr id="5" name="AutoShape 68" descr="Frente de Obra:">
          <a:extLst>
            <a:ext uri="{FF2B5EF4-FFF2-40B4-BE49-F238E27FC236}">
              <a16:creationId xmlns:a16="http://schemas.microsoft.com/office/drawing/2014/main" id="{00000000-0008-0000-0300-000005000000}"/>
            </a:ext>
          </a:extLst>
        </xdr:cNvPr>
        <xdr:cNvSpPr>
          <a:spLocks noChangeArrowheads="1"/>
        </xdr:cNvSpPr>
      </xdr:nvSpPr>
      <xdr:spPr bwMode="auto">
        <a:xfrm>
          <a:off x="5629275" y="2095500"/>
          <a:ext cx="1285875" cy="514350"/>
        </a:xfrm>
        <a:prstGeom prst="rightArrow">
          <a:avLst>
            <a:gd name="adj1" fmla="val 50000"/>
            <a:gd name="adj2" fmla="val 57203"/>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t" upright="1"/>
        <a:lstStyle/>
        <a:p>
          <a:pPr algn="l" rtl="0">
            <a:defRPr sz="1000"/>
          </a:pPr>
          <a:r>
            <a:rPr lang="pt-BR" sz="1000" b="1" i="0" u="none" strike="noStrike" baseline="0">
              <a:solidFill>
                <a:srgbClr val="000000"/>
              </a:solidFill>
              <a:latin typeface="Arial"/>
              <a:cs typeface="Arial"/>
            </a:rPr>
            <a:t>Frente de Obra:</a:t>
          </a:r>
        </a:p>
      </xdr:txBody>
    </xdr:sp>
    <xdr:clientData/>
  </xdr:twoCellAnchor>
  <xdr:twoCellAnchor editAs="oneCell">
    <xdr:from>
      <xdr:col>2</xdr:col>
      <xdr:colOff>676275</xdr:colOff>
      <xdr:row>8</xdr:row>
      <xdr:rowOff>104775</xdr:rowOff>
    </xdr:from>
    <xdr:to>
      <xdr:col>2</xdr:col>
      <xdr:colOff>1704975</xdr:colOff>
      <xdr:row>8</xdr:row>
      <xdr:rowOff>485775</xdr:rowOff>
    </xdr:to>
    <xdr:sp macro="[0]!IncluirPLQ" textlink="">
      <xdr:nvSpPr>
        <xdr:cNvPr id="6" name="AddPLQ">
          <a:extLst>
            <a:ext uri="{FF2B5EF4-FFF2-40B4-BE49-F238E27FC236}">
              <a16:creationId xmlns:a16="http://schemas.microsoft.com/office/drawing/2014/main" id="{00000000-0008-0000-0300-000006000000}"/>
            </a:ext>
          </a:extLst>
        </xdr:cNvPr>
        <xdr:cNvSpPr txBox="1">
          <a:spLocks noChangeArrowheads="1"/>
        </xdr:cNvSpPr>
      </xdr:nvSpPr>
      <xdr:spPr bwMode="auto">
        <a:xfrm>
          <a:off x="2238375" y="2076450"/>
          <a:ext cx="1028700" cy="381000"/>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ADICIONAR 10 FRENTES</a:t>
          </a:r>
        </a:p>
      </xdr:txBody>
    </xdr:sp>
    <xdr:clientData fPrintsWithSheet="0"/>
  </xdr:twoCellAnchor>
  <xdr:twoCellAnchor editAs="oneCell">
    <xdr:from>
      <xdr:col>2</xdr:col>
      <xdr:colOff>1971675</xdr:colOff>
      <xdr:row>8</xdr:row>
      <xdr:rowOff>104775</xdr:rowOff>
    </xdr:from>
    <xdr:to>
      <xdr:col>2</xdr:col>
      <xdr:colOff>3000375</xdr:colOff>
      <xdr:row>8</xdr:row>
      <xdr:rowOff>485775</xdr:rowOff>
    </xdr:to>
    <xdr:sp macro="[0]!ExcluirPLQ" textlink="">
      <xdr:nvSpPr>
        <xdr:cNvPr id="7" name="RemovePLQ">
          <a:extLst>
            <a:ext uri="{FF2B5EF4-FFF2-40B4-BE49-F238E27FC236}">
              <a16:creationId xmlns:a16="http://schemas.microsoft.com/office/drawing/2014/main" id="{00000000-0008-0000-0300-000007000000}"/>
            </a:ext>
          </a:extLst>
        </xdr:cNvPr>
        <xdr:cNvSpPr txBox="1">
          <a:spLocks noChangeArrowheads="1"/>
        </xdr:cNvSpPr>
      </xdr:nvSpPr>
      <xdr:spPr bwMode="auto">
        <a:xfrm>
          <a:off x="3533775" y="2076450"/>
          <a:ext cx="1028700" cy="381000"/>
        </a:xfrm>
        <a:prstGeom prst="rect">
          <a:avLst/>
        </a:prstGeom>
        <a:solidFill>
          <a:srgbClr xmlns:mc="http://schemas.openxmlformats.org/markup-compatibility/2006" xmlns:a14="http://schemas.microsoft.com/office/drawing/2010/main" val="993366" mc:Ignorable="a14" a14:legacySpreadsheetColorIndex="6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FFFFFF"/>
              </a:solidFill>
              <a:latin typeface="Arial"/>
              <a:cs typeface="Arial"/>
            </a:rPr>
            <a:t>EXCLUIR 10 FRENTES</a:t>
          </a:r>
        </a:p>
      </xdr:txBody>
    </xdr:sp>
    <xdr:clientData fPrintsWithSheet="0"/>
  </xdr:twoCellAnchor>
  <mc:AlternateContent xmlns:mc="http://schemas.openxmlformats.org/markup-compatibility/2006">
    <mc:Choice xmlns:a14="http://schemas.microsoft.com/office/drawing/2010/main" Requires="a14">
      <xdr:twoCellAnchor>
        <xdr:from>
          <xdr:col>5</xdr:col>
          <xdr:colOff>704850</xdr:colOff>
          <xdr:row>32</xdr:row>
          <xdr:rowOff>9525</xdr:rowOff>
        </xdr:from>
        <xdr:to>
          <xdr:col>14</xdr:col>
          <xdr:colOff>28575</xdr:colOff>
          <xdr:row>36</xdr:row>
          <xdr:rowOff>152400</xdr:rowOff>
        </xdr:to>
        <xdr:pic>
          <xdr:nvPicPr>
            <xdr:cNvPr id="199399" name="Picture 483">
              <a:extLst>
                <a:ext uri="{FF2B5EF4-FFF2-40B4-BE49-F238E27FC236}">
                  <a16:creationId xmlns:a16="http://schemas.microsoft.com/office/drawing/2014/main" id="{00000000-0008-0000-0300-0000E70A0300}"/>
                </a:ext>
              </a:extLst>
            </xdr:cNvPr>
            <xdr:cNvPicPr>
              <a:picLocks noChangeArrowheads="1"/>
              <a:extLst>
                <a:ext uri="{84589F7E-364E-4C9E-8A38-B11213B215E9}">
                  <a14:cameraTool cellRange="DADOS!$A$53:$K$57" spid="_x0000_s204810"/>
                </a:ext>
              </a:extLst>
            </xdr:cNvPicPr>
          </xdr:nvPicPr>
          <xdr:blipFill>
            <a:blip xmlns:r="http://schemas.openxmlformats.org/officeDocument/2006/relationships" r:embed="rId2"/>
            <a:srcRect/>
            <a:stretch>
              <a:fillRect/>
            </a:stretch>
          </xdr:blipFill>
          <xdr:spPr bwMode="auto">
            <a:xfrm>
              <a:off x="7667625" y="6524625"/>
              <a:ext cx="6353175"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0</xdr:row>
          <xdr:rowOff>57150</xdr:rowOff>
        </xdr:from>
        <xdr:to>
          <xdr:col>14</xdr:col>
          <xdr:colOff>704850</xdr:colOff>
          <xdr:row>2</xdr:row>
          <xdr:rowOff>19050</xdr:rowOff>
        </xdr:to>
        <xdr:pic>
          <xdr:nvPicPr>
            <xdr:cNvPr id="199400" name="SigiloPic">
              <a:extLst>
                <a:ext uri="{FF2B5EF4-FFF2-40B4-BE49-F238E27FC236}">
                  <a16:creationId xmlns:a16="http://schemas.microsoft.com/office/drawing/2014/main" id="{00000000-0008-0000-0300-0000E80A0300}"/>
                </a:ext>
              </a:extLst>
            </xdr:cNvPr>
            <xdr:cNvPicPr>
              <a:picLocks noChangeArrowheads="1"/>
              <a:extLst>
                <a:ext uri="{84589F7E-364E-4C9E-8A38-B11213B215E9}">
                  <a14:cameraTool cellRange="PO!$T$1:$T$2" spid="_x0000_s204811"/>
                </a:ext>
              </a:extLst>
            </xdr:cNvPicPr>
          </xdr:nvPicPr>
          <xdr:blipFill>
            <a:blip xmlns:r="http://schemas.openxmlformats.org/officeDocument/2006/relationships" r:embed="rId3"/>
            <a:srcRect/>
            <a:stretch>
              <a:fillRect/>
            </a:stretch>
          </xdr:blipFill>
          <xdr:spPr bwMode="auto">
            <a:xfrm>
              <a:off x="13563600" y="57150"/>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1</xdr:col>
      <xdr:colOff>28575</xdr:colOff>
      <xdr:row>0</xdr:row>
      <xdr:rowOff>28575</xdr:rowOff>
    </xdr:from>
    <xdr:to>
      <xdr:col>2</xdr:col>
      <xdr:colOff>1104900</xdr:colOff>
      <xdr:row>1</xdr:row>
      <xdr:rowOff>190500</xdr:rowOff>
    </xdr:to>
    <xdr:pic>
      <xdr:nvPicPr>
        <xdr:cNvPr id="2" name="Picture 1347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 y="28575"/>
          <a:ext cx="1790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57150</xdr:colOff>
      <xdr:row>0</xdr:row>
      <xdr:rowOff>38100</xdr:rowOff>
    </xdr:from>
    <xdr:to>
      <xdr:col>12</xdr:col>
      <xdr:colOff>1133475</xdr:colOff>
      <xdr:row>2</xdr:row>
      <xdr:rowOff>95250</xdr:rowOff>
    </xdr:to>
    <xdr:sp macro="" textlink="">
      <xdr:nvSpPr>
        <xdr:cNvPr id="193474" name="Object 125890" hidden="1">
          <a:extLst>
            <a:ext uri="{63B3BB69-23CF-44E3-9099-C40C66FF867C}">
              <a14:compatExt xmlns:a14="http://schemas.microsoft.com/office/drawing/2010/main" spid="_x0000_s193474"/>
            </a:ext>
            <a:ext uri="{FF2B5EF4-FFF2-40B4-BE49-F238E27FC236}">
              <a16:creationId xmlns:a16="http://schemas.microsoft.com/office/drawing/2014/main" id="{00000000-0008-0000-0400-0000C2F302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628650</xdr:colOff>
      <xdr:row>7</xdr:row>
      <xdr:rowOff>209550</xdr:rowOff>
    </xdr:from>
    <xdr:to>
      <xdr:col>12</xdr:col>
      <xdr:colOff>1695450</xdr:colOff>
      <xdr:row>9</xdr:row>
      <xdr:rowOff>0</xdr:rowOff>
    </xdr:to>
    <xdr:sp macro="[0]!EditarCRONO" textlink="">
      <xdr:nvSpPr>
        <xdr:cNvPr id="7" name="AddCFF">
          <a:extLst>
            <a:ext uri="{FF2B5EF4-FFF2-40B4-BE49-F238E27FC236}">
              <a16:creationId xmlns:a16="http://schemas.microsoft.com/office/drawing/2014/main" id="{00000000-0008-0000-0400-000007000000}"/>
            </a:ext>
          </a:extLst>
        </xdr:cNvPr>
        <xdr:cNvSpPr txBox="1">
          <a:spLocks noChangeArrowheads="1"/>
        </xdr:cNvSpPr>
      </xdr:nvSpPr>
      <xdr:spPr bwMode="auto">
        <a:xfrm>
          <a:off x="628650" y="1914525"/>
          <a:ext cx="1781175" cy="342900"/>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 ATUALIZAR CRONOGRAMA</a:t>
          </a:r>
        </a:p>
      </xdr:txBody>
    </xdr:sp>
    <xdr:clientData fPrintsWithSheet="0"/>
  </xdr:twoCellAnchor>
  <mc:AlternateContent xmlns:mc="http://schemas.openxmlformats.org/markup-compatibility/2006">
    <mc:Choice xmlns:a14="http://schemas.microsoft.com/office/drawing/2010/main" Requires="a14">
      <xdr:twoCellAnchor editAs="absolute">
        <xdr:from>
          <xdr:col>15</xdr:col>
          <xdr:colOff>0</xdr:colOff>
          <xdr:row>3</xdr:row>
          <xdr:rowOff>0</xdr:rowOff>
        </xdr:from>
        <xdr:to>
          <xdr:col>23</xdr:col>
          <xdr:colOff>0</xdr:colOff>
          <xdr:row>6</xdr:row>
          <xdr:rowOff>219075</xdr:rowOff>
        </xdr:to>
        <xdr:pic>
          <xdr:nvPicPr>
            <xdr:cNvPr id="200672" name="PIC2">
              <a:extLst>
                <a:ext uri="{FF2B5EF4-FFF2-40B4-BE49-F238E27FC236}">
                  <a16:creationId xmlns:a16="http://schemas.microsoft.com/office/drawing/2014/main" id="{00000000-0008-0000-0400-0000E00F0300}"/>
                </a:ext>
              </a:extLst>
            </xdr:cNvPr>
            <xdr:cNvPicPr>
              <a:picLocks noChangeArrowheads="1"/>
              <a:extLst>
                <a:ext uri="{84589F7E-364E-4C9E-8A38-B11213B215E9}">
                  <a14:cameraTool cellRange="DADOS!$A$220:$X$230" spid="_x0000_s201681"/>
                </a:ext>
              </a:extLst>
            </xdr:cNvPicPr>
          </xdr:nvPicPr>
          <xdr:blipFill>
            <a:blip xmlns:r="http://schemas.openxmlformats.org/officeDocument/2006/relationships" r:embed="rId1"/>
            <a:srcRect l="39473"/>
            <a:stretch>
              <a:fillRect/>
            </a:stretch>
          </xdr:blipFill>
          <xdr:spPr bwMode="auto">
            <a:xfrm>
              <a:off x="5619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3</xdr:row>
          <xdr:rowOff>0</xdr:rowOff>
        </xdr:from>
        <xdr:to>
          <xdr:col>14</xdr:col>
          <xdr:colOff>1076325</xdr:colOff>
          <xdr:row>6</xdr:row>
          <xdr:rowOff>219075</xdr:rowOff>
        </xdr:to>
        <xdr:pic>
          <xdr:nvPicPr>
            <xdr:cNvPr id="200673" name="PIC1">
              <a:extLst>
                <a:ext uri="{FF2B5EF4-FFF2-40B4-BE49-F238E27FC236}">
                  <a16:creationId xmlns:a16="http://schemas.microsoft.com/office/drawing/2014/main" id="{00000000-0008-0000-0400-0000E10F0300}"/>
                </a:ext>
              </a:extLst>
            </xdr:cNvPr>
            <xdr:cNvPicPr>
              <a:picLocks noChangeArrowheads="1"/>
              <a:extLst>
                <a:ext uri="{84589F7E-364E-4C9E-8A38-B11213B215E9}">
                  <a14:cameraTool cellRange="DADOS!$A$220:$X$230" spid="_x0000_s201682"/>
                </a:ext>
              </a:extLst>
            </xdr:cNvPicPr>
          </xdr:nvPicPr>
          <xdr:blipFill>
            <a:blip xmlns:r="http://schemas.openxmlformats.org/officeDocument/2006/relationships" r:embed="rId2"/>
            <a:srcRect r="60628"/>
            <a:stretch>
              <a:fillRect/>
            </a:stretch>
          </xdr:blipFill>
          <xdr:spPr bwMode="auto">
            <a:xfrm>
              <a:off x="152400" y="485775"/>
              <a:ext cx="5438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971550</xdr:colOff>
          <xdr:row>22</xdr:row>
          <xdr:rowOff>0</xdr:rowOff>
        </xdr:from>
        <xdr:to>
          <xdr:col>22</xdr:col>
          <xdr:colOff>28575</xdr:colOff>
          <xdr:row>26</xdr:row>
          <xdr:rowOff>142875</xdr:rowOff>
        </xdr:to>
        <xdr:pic>
          <xdr:nvPicPr>
            <xdr:cNvPr id="200674" name="Picture 483">
              <a:extLst>
                <a:ext uri="{FF2B5EF4-FFF2-40B4-BE49-F238E27FC236}">
                  <a16:creationId xmlns:a16="http://schemas.microsoft.com/office/drawing/2014/main" id="{00000000-0008-0000-0400-0000E20F0300}"/>
                </a:ext>
              </a:extLst>
            </xdr:cNvPr>
            <xdr:cNvPicPr>
              <a:picLocks noChangeArrowheads="1"/>
              <a:extLst>
                <a:ext uri="{84589F7E-364E-4C9E-8A38-B11213B215E9}">
                  <a14:cameraTool cellRange="DADOS!$A$53:$K$57" spid="_x0000_s201683"/>
                </a:ext>
              </a:extLst>
            </xdr:cNvPicPr>
          </xdr:nvPicPr>
          <xdr:blipFill>
            <a:blip xmlns:r="http://schemas.openxmlformats.org/officeDocument/2006/relationships" r:embed="rId3"/>
            <a:srcRect/>
            <a:stretch>
              <a:fillRect/>
            </a:stretch>
          </xdr:blipFill>
          <xdr:spPr bwMode="auto">
            <a:xfrm>
              <a:off x="6591300" y="4143375"/>
              <a:ext cx="6391275"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914400</xdr:colOff>
          <xdr:row>0</xdr:row>
          <xdr:rowOff>66675</xdr:rowOff>
        </xdr:from>
        <xdr:to>
          <xdr:col>22</xdr:col>
          <xdr:colOff>1000125</xdr:colOff>
          <xdr:row>2</xdr:row>
          <xdr:rowOff>123825</xdr:rowOff>
        </xdr:to>
        <xdr:pic>
          <xdr:nvPicPr>
            <xdr:cNvPr id="200675" name="SigiloPic">
              <a:extLst>
                <a:ext uri="{FF2B5EF4-FFF2-40B4-BE49-F238E27FC236}">
                  <a16:creationId xmlns:a16="http://schemas.microsoft.com/office/drawing/2014/main" id="{00000000-0008-0000-0400-0000E30F0300}"/>
                </a:ext>
              </a:extLst>
            </xdr:cNvPr>
            <xdr:cNvPicPr>
              <a:picLocks noChangeArrowheads="1"/>
              <a:extLst>
                <a:ext uri="{84589F7E-364E-4C9E-8A38-B11213B215E9}">
                  <a14:cameraTool cellRange="PO!$T$1:$T$2" spid="_x0000_s201684"/>
                </a:ext>
              </a:extLst>
            </xdr:cNvPicPr>
          </xdr:nvPicPr>
          <xdr:blipFill>
            <a:blip xmlns:r="http://schemas.openxmlformats.org/officeDocument/2006/relationships" r:embed="rId4"/>
            <a:srcRect/>
            <a:stretch>
              <a:fillRect/>
            </a:stretch>
          </xdr:blipFill>
          <xdr:spPr bwMode="auto">
            <a:xfrm>
              <a:off x="12820650" y="666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22</xdr:row>
          <xdr:rowOff>0</xdr:rowOff>
        </xdr:from>
        <xdr:to>
          <xdr:col>23</xdr:col>
          <xdr:colOff>0</xdr:colOff>
          <xdr:row>26</xdr:row>
          <xdr:rowOff>142875</xdr:rowOff>
        </xdr:to>
        <xdr:pic>
          <xdr:nvPicPr>
            <xdr:cNvPr id="200676" name="Picture 483">
              <a:extLst>
                <a:ext uri="{FF2B5EF4-FFF2-40B4-BE49-F238E27FC236}">
                  <a16:creationId xmlns:a16="http://schemas.microsoft.com/office/drawing/2014/main" id="{00000000-0008-0000-0400-0000E40F0300}"/>
                </a:ext>
              </a:extLst>
            </xdr:cNvPr>
            <xdr:cNvPicPr>
              <a:picLocks noChangeArrowheads="1"/>
              <a:extLst>
                <a:ext uri="{84589F7E-364E-4C9E-8A38-B11213B215E9}">
                  <a14:cameraTool cellRange="DADOS!$A$53:$K$57" spid="_x0000_s201685"/>
                </a:ext>
              </a:extLst>
            </xdr:cNvPicPr>
          </xdr:nvPicPr>
          <xdr:blipFill>
            <a:blip xmlns:r="http://schemas.openxmlformats.org/officeDocument/2006/relationships" r:embed="rId3"/>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77" name="SigiloPic">
              <a:extLst>
                <a:ext uri="{FF2B5EF4-FFF2-40B4-BE49-F238E27FC236}">
                  <a16:creationId xmlns:a16="http://schemas.microsoft.com/office/drawing/2014/main" id="{00000000-0008-0000-0400-0000E50F0300}"/>
                </a:ext>
              </a:extLst>
            </xdr:cNvPr>
            <xdr:cNvPicPr>
              <a:picLocks noChangeArrowheads="1"/>
              <a:extLst>
                <a:ext uri="{84589F7E-364E-4C9E-8A38-B11213B215E9}">
                  <a14:cameraTool cellRange="PO!$T$1:$T$2" spid="_x0000_s201686"/>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22</xdr:row>
          <xdr:rowOff>0</xdr:rowOff>
        </xdr:from>
        <xdr:to>
          <xdr:col>23</xdr:col>
          <xdr:colOff>0</xdr:colOff>
          <xdr:row>26</xdr:row>
          <xdr:rowOff>142875</xdr:rowOff>
        </xdr:to>
        <xdr:pic>
          <xdr:nvPicPr>
            <xdr:cNvPr id="200678" name="Picture 483">
              <a:extLst>
                <a:ext uri="{FF2B5EF4-FFF2-40B4-BE49-F238E27FC236}">
                  <a16:creationId xmlns:a16="http://schemas.microsoft.com/office/drawing/2014/main" id="{00000000-0008-0000-0400-0000E60F0300}"/>
                </a:ext>
              </a:extLst>
            </xdr:cNvPr>
            <xdr:cNvPicPr>
              <a:picLocks noChangeArrowheads="1"/>
              <a:extLst>
                <a:ext uri="{84589F7E-364E-4C9E-8A38-B11213B215E9}">
                  <a14:cameraTool cellRange="DADOS!$A$53:$K$57" spid="_x0000_s201687"/>
                </a:ext>
              </a:extLst>
            </xdr:cNvPicPr>
          </xdr:nvPicPr>
          <xdr:blipFill>
            <a:blip xmlns:r="http://schemas.openxmlformats.org/officeDocument/2006/relationships" r:embed="rId3"/>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79" name="SigiloPic">
              <a:extLst>
                <a:ext uri="{FF2B5EF4-FFF2-40B4-BE49-F238E27FC236}">
                  <a16:creationId xmlns:a16="http://schemas.microsoft.com/office/drawing/2014/main" id="{00000000-0008-0000-0400-0000E70F0300}"/>
                </a:ext>
              </a:extLst>
            </xdr:cNvPr>
            <xdr:cNvPicPr>
              <a:picLocks noChangeArrowheads="1"/>
              <a:extLst>
                <a:ext uri="{84589F7E-364E-4C9E-8A38-B11213B215E9}">
                  <a14:cameraTool cellRange="PO!$T$1:$T$2" spid="_x0000_s201688"/>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22</xdr:row>
          <xdr:rowOff>0</xdr:rowOff>
        </xdr:from>
        <xdr:to>
          <xdr:col>23</xdr:col>
          <xdr:colOff>0</xdr:colOff>
          <xdr:row>26</xdr:row>
          <xdr:rowOff>142875</xdr:rowOff>
        </xdr:to>
        <xdr:pic>
          <xdr:nvPicPr>
            <xdr:cNvPr id="200680" name="Picture 483">
              <a:extLst>
                <a:ext uri="{FF2B5EF4-FFF2-40B4-BE49-F238E27FC236}">
                  <a16:creationId xmlns:a16="http://schemas.microsoft.com/office/drawing/2014/main" id="{00000000-0008-0000-0400-0000E80F0300}"/>
                </a:ext>
              </a:extLst>
            </xdr:cNvPr>
            <xdr:cNvPicPr>
              <a:picLocks noChangeArrowheads="1"/>
              <a:extLst>
                <a:ext uri="{84589F7E-364E-4C9E-8A38-B11213B215E9}">
                  <a14:cameraTool cellRange="DADOS!$A$53:$K$57" spid="_x0000_s201689"/>
                </a:ext>
              </a:extLst>
            </xdr:cNvPicPr>
          </xdr:nvPicPr>
          <xdr:blipFill>
            <a:blip xmlns:r="http://schemas.openxmlformats.org/officeDocument/2006/relationships" r:embed="rId3"/>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81" name="SigiloPic">
              <a:extLst>
                <a:ext uri="{FF2B5EF4-FFF2-40B4-BE49-F238E27FC236}">
                  <a16:creationId xmlns:a16="http://schemas.microsoft.com/office/drawing/2014/main" id="{00000000-0008-0000-0400-0000E90F0300}"/>
                </a:ext>
              </a:extLst>
            </xdr:cNvPr>
            <xdr:cNvPicPr>
              <a:picLocks noChangeArrowheads="1"/>
              <a:extLst>
                <a:ext uri="{84589F7E-364E-4C9E-8A38-B11213B215E9}">
                  <a14:cameraTool cellRange="PO!$T$1:$T$2" spid="_x0000_s201690"/>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22</xdr:row>
          <xdr:rowOff>0</xdr:rowOff>
        </xdr:from>
        <xdr:to>
          <xdr:col>23</xdr:col>
          <xdr:colOff>0</xdr:colOff>
          <xdr:row>26</xdr:row>
          <xdr:rowOff>142875</xdr:rowOff>
        </xdr:to>
        <xdr:pic>
          <xdr:nvPicPr>
            <xdr:cNvPr id="200682" name="Picture 483">
              <a:extLst>
                <a:ext uri="{FF2B5EF4-FFF2-40B4-BE49-F238E27FC236}">
                  <a16:creationId xmlns:a16="http://schemas.microsoft.com/office/drawing/2014/main" id="{00000000-0008-0000-0400-0000EA0F0300}"/>
                </a:ext>
              </a:extLst>
            </xdr:cNvPr>
            <xdr:cNvPicPr>
              <a:picLocks noChangeArrowheads="1"/>
              <a:extLst>
                <a:ext uri="{84589F7E-364E-4C9E-8A38-B11213B215E9}">
                  <a14:cameraTool cellRange="DADOS!$A$53:$K$57" spid="_x0000_s201691"/>
                </a:ext>
              </a:extLst>
            </xdr:cNvPicPr>
          </xdr:nvPicPr>
          <xdr:blipFill>
            <a:blip xmlns:r="http://schemas.openxmlformats.org/officeDocument/2006/relationships" r:embed="rId5"/>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83" name="SigiloPic">
              <a:extLst>
                <a:ext uri="{FF2B5EF4-FFF2-40B4-BE49-F238E27FC236}">
                  <a16:creationId xmlns:a16="http://schemas.microsoft.com/office/drawing/2014/main" id="{00000000-0008-0000-0400-0000EB0F0300}"/>
                </a:ext>
              </a:extLst>
            </xdr:cNvPr>
            <xdr:cNvPicPr>
              <a:picLocks noChangeArrowheads="1"/>
              <a:extLst>
                <a:ext uri="{84589F7E-364E-4C9E-8A38-B11213B215E9}">
                  <a14:cameraTool cellRange="PO!$T$1:$T$2" spid="_x0000_s201692"/>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22</xdr:row>
          <xdr:rowOff>0</xdr:rowOff>
        </xdr:from>
        <xdr:to>
          <xdr:col>23</xdr:col>
          <xdr:colOff>0</xdr:colOff>
          <xdr:row>26</xdr:row>
          <xdr:rowOff>142875</xdr:rowOff>
        </xdr:to>
        <xdr:pic>
          <xdr:nvPicPr>
            <xdr:cNvPr id="200684" name="Picture 483">
              <a:extLst>
                <a:ext uri="{FF2B5EF4-FFF2-40B4-BE49-F238E27FC236}">
                  <a16:creationId xmlns:a16="http://schemas.microsoft.com/office/drawing/2014/main" id="{00000000-0008-0000-0400-0000EC0F0300}"/>
                </a:ext>
              </a:extLst>
            </xdr:cNvPr>
            <xdr:cNvPicPr>
              <a:picLocks noChangeArrowheads="1"/>
              <a:extLst>
                <a:ext uri="{84589F7E-364E-4C9E-8A38-B11213B215E9}">
                  <a14:cameraTool cellRange="DADOS!$A$53:$K$57" spid="_x0000_s201693"/>
                </a:ext>
              </a:extLst>
            </xdr:cNvPicPr>
          </xdr:nvPicPr>
          <xdr:blipFill>
            <a:blip xmlns:r="http://schemas.openxmlformats.org/officeDocument/2006/relationships" r:embed="rId3"/>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85" name="SigiloPic">
              <a:extLst>
                <a:ext uri="{FF2B5EF4-FFF2-40B4-BE49-F238E27FC236}">
                  <a16:creationId xmlns:a16="http://schemas.microsoft.com/office/drawing/2014/main" id="{00000000-0008-0000-0400-0000ED0F0300}"/>
                </a:ext>
              </a:extLst>
            </xdr:cNvPr>
            <xdr:cNvPicPr>
              <a:picLocks noChangeArrowheads="1"/>
              <a:extLst>
                <a:ext uri="{84589F7E-364E-4C9E-8A38-B11213B215E9}">
                  <a14:cameraTool cellRange="PO!$T$1:$T$2" spid="_x0000_s201694"/>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11</xdr:col>
      <xdr:colOff>57150</xdr:colOff>
      <xdr:row>0</xdr:row>
      <xdr:rowOff>38100</xdr:rowOff>
    </xdr:from>
    <xdr:to>
      <xdr:col>12</xdr:col>
      <xdr:colOff>1133475</xdr:colOff>
      <xdr:row>2</xdr:row>
      <xdr:rowOff>95250</xdr:rowOff>
    </xdr:to>
    <xdr:pic>
      <xdr:nvPicPr>
        <xdr:cNvPr id="2" name="Picture 12589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3">
    <tabColor rgb="FFFFC000"/>
    <pageSetUpPr fitToPage="1"/>
  </sheetPr>
  <dimension ref="A1:Y257"/>
  <sheetViews>
    <sheetView showGridLines="0" topLeftCell="A16" zoomScaleNormal="100" zoomScaleSheetLayoutView="100" workbookViewId="0">
      <selection activeCell="I47" sqref="I47"/>
    </sheetView>
  </sheetViews>
  <sheetFormatPr defaultRowHeight="12.75" x14ac:dyDescent="0.2"/>
  <cols>
    <col min="1" max="2" width="8.7109375" style="8" customWidth="1"/>
    <col min="3" max="5" width="8.7109375" style="1" customWidth="1"/>
    <col min="6" max="8" width="8.7109375" style="7" customWidth="1"/>
    <col min="9" max="24" width="8.7109375" style="1" customWidth="1"/>
    <col min="25" max="16384" width="9.140625" style="1"/>
  </cols>
  <sheetData>
    <row r="1" spans="1:25" ht="12.75" customHeight="1" x14ac:dyDescent="0.2">
      <c r="A1" s="103">
        <v>27476</v>
      </c>
      <c r="B1" s="268" t="s">
        <v>2</v>
      </c>
      <c r="C1" s="268"/>
      <c r="D1" s="268"/>
      <c r="E1" s="268"/>
      <c r="F1" s="268"/>
      <c r="G1" s="268"/>
      <c r="H1" s="268"/>
      <c r="I1" s="268"/>
      <c r="J1" s="268"/>
      <c r="K1" s="268"/>
      <c r="L1" s="268"/>
      <c r="M1" s="268"/>
      <c r="N1" s="268"/>
      <c r="O1" s="268"/>
      <c r="P1" s="268"/>
      <c r="Q1" s="268"/>
      <c r="R1" s="268"/>
      <c r="S1" s="268"/>
      <c r="T1" s="268"/>
      <c r="U1" s="268"/>
      <c r="V1" s="268"/>
      <c r="W1" s="268"/>
      <c r="X1" s="269"/>
    </row>
    <row r="2" spans="1:25" ht="13.5" customHeight="1" x14ac:dyDescent="0.2">
      <c r="A2" s="105" t="s">
        <v>229</v>
      </c>
      <c r="B2" s="270"/>
      <c r="C2" s="270"/>
      <c r="D2" s="270"/>
      <c r="E2" s="270"/>
      <c r="F2" s="270"/>
      <c r="G2" s="270"/>
      <c r="H2" s="270"/>
      <c r="I2" s="270"/>
      <c r="J2" s="270"/>
      <c r="K2" s="270"/>
      <c r="L2" s="270"/>
      <c r="M2" s="270"/>
      <c r="N2" s="270"/>
      <c r="O2" s="270"/>
      <c r="P2" s="270"/>
      <c r="Q2" s="270"/>
      <c r="R2" s="270"/>
      <c r="S2" s="270"/>
      <c r="T2" s="270"/>
      <c r="U2" s="270"/>
      <c r="V2" s="270"/>
      <c r="W2" s="270"/>
      <c r="X2" s="271"/>
    </row>
    <row r="3" spans="1:25" ht="13.5" customHeight="1" x14ac:dyDescent="0.2">
      <c r="A3" s="1"/>
      <c r="B3" s="1"/>
      <c r="F3" s="1"/>
      <c r="G3" s="1"/>
      <c r="H3" s="1"/>
    </row>
    <row r="4" spans="1:25" s="21" customFormat="1" ht="12.75" customHeight="1" x14ac:dyDescent="0.2">
      <c r="A4" s="280" t="s">
        <v>169</v>
      </c>
      <c r="B4" s="280"/>
      <c r="C4" s="280"/>
      <c r="D4" s="280"/>
      <c r="E4" s="280"/>
      <c r="F4" s="280"/>
      <c r="G4" s="280"/>
      <c r="H4" s="280"/>
      <c r="I4" s="280"/>
      <c r="J4" s="280"/>
      <c r="K4" s="280"/>
      <c r="L4" s="280"/>
      <c r="M4" s="280"/>
      <c r="N4" s="280"/>
      <c r="O4" s="280"/>
      <c r="P4" s="280"/>
      <c r="Q4" s="280"/>
      <c r="R4" s="280"/>
      <c r="S4" s="280"/>
      <c r="T4" s="280"/>
      <c r="U4" s="280"/>
      <c r="V4" s="280"/>
      <c r="W4" s="280"/>
      <c r="X4" s="280"/>
    </row>
    <row r="5" spans="1:25" s="21" customFormat="1" x14ac:dyDescent="0.2">
      <c r="A5" s="22"/>
      <c r="B5" s="22"/>
      <c r="F5" s="23"/>
      <c r="G5" s="23"/>
      <c r="H5" s="23"/>
    </row>
    <row r="6" spans="1:25" s="22" customFormat="1" ht="24.95" customHeight="1" x14ac:dyDescent="0.2">
      <c r="A6" s="281" t="s">
        <v>180</v>
      </c>
      <c r="B6" s="282"/>
      <c r="C6" s="282"/>
      <c r="D6" s="282"/>
      <c r="E6" s="282"/>
      <c r="F6" s="282"/>
      <c r="G6" s="282"/>
      <c r="H6" s="282"/>
      <c r="I6" s="282"/>
      <c r="J6" s="282"/>
      <c r="K6" s="282"/>
      <c r="L6" s="282"/>
      <c r="M6" s="282"/>
      <c r="N6" s="282"/>
      <c r="O6" s="282"/>
      <c r="P6" s="282"/>
      <c r="Q6" s="282"/>
      <c r="R6" s="282"/>
      <c r="S6" s="282"/>
      <c r="T6" s="282"/>
      <c r="U6" s="282"/>
      <c r="V6" s="282"/>
      <c r="W6" s="282"/>
      <c r="X6" s="282"/>
    </row>
    <row r="7" spans="1:25" s="21" customFormat="1" ht="12.75" customHeight="1" x14ac:dyDescent="0.2">
      <c r="A7" s="22"/>
      <c r="B7" s="22"/>
      <c r="F7" s="23"/>
      <c r="G7" s="23"/>
      <c r="H7" s="23"/>
    </row>
    <row r="8" spans="1:25" s="21" customFormat="1" ht="12.75" customHeight="1" x14ac:dyDescent="0.2">
      <c r="A8" s="283" t="s">
        <v>23</v>
      </c>
      <c r="B8" s="283"/>
      <c r="C8" s="283"/>
      <c r="D8" s="283"/>
      <c r="E8" s="283"/>
      <c r="F8" s="283"/>
      <c r="G8" s="283"/>
      <c r="H8" s="283"/>
      <c r="I8" s="283"/>
      <c r="J8" s="283"/>
      <c r="K8" s="283"/>
      <c r="L8" s="283"/>
      <c r="M8" s="283"/>
      <c r="N8" s="283"/>
      <c r="O8" s="283"/>
      <c r="P8" s="283"/>
      <c r="Q8" s="283"/>
      <c r="R8" s="283"/>
      <c r="S8" s="283"/>
      <c r="T8" s="283"/>
      <c r="U8" s="283"/>
      <c r="V8" s="283"/>
      <c r="W8" s="283"/>
      <c r="X8" s="283"/>
      <c r="Y8" s="24"/>
    </row>
    <row r="9" spans="1:25" s="21" customFormat="1" ht="6" customHeight="1" x14ac:dyDescent="0.2">
      <c r="A9" s="48"/>
      <c r="B9" s="48"/>
      <c r="C9" s="48"/>
      <c r="D9" s="48"/>
      <c r="E9" s="48"/>
      <c r="F9" s="48"/>
      <c r="G9" s="48"/>
      <c r="H9" s="48"/>
      <c r="I9" s="48"/>
      <c r="J9" s="48"/>
      <c r="K9" s="48"/>
      <c r="L9" s="48"/>
      <c r="M9" s="48"/>
      <c r="N9" s="48"/>
      <c r="O9" s="48"/>
      <c r="P9" s="48"/>
      <c r="Q9" s="48"/>
      <c r="R9" s="48"/>
      <c r="S9" s="48"/>
      <c r="T9" s="48"/>
      <c r="U9" s="48"/>
      <c r="V9" s="48"/>
      <c r="W9" s="48"/>
      <c r="X9" s="48"/>
      <c r="Y9" s="24"/>
    </row>
    <row r="10" spans="1:25" s="21" customFormat="1" ht="12.75" customHeight="1" x14ac:dyDescent="0.2">
      <c r="A10" s="285" t="s">
        <v>170</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row>
    <row r="11" spans="1:25" s="21" customFormat="1" ht="6" customHeight="1" x14ac:dyDescent="0.2">
      <c r="A11" s="49"/>
      <c r="B11" s="49"/>
      <c r="C11" s="49"/>
      <c r="D11" s="49"/>
      <c r="E11" s="49"/>
      <c r="F11" s="49"/>
      <c r="G11" s="49"/>
      <c r="H11" s="49"/>
      <c r="I11" s="49"/>
      <c r="J11" s="49"/>
      <c r="K11" s="49"/>
      <c r="L11" s="49"/>
      <c r="M11" s="49"/>
      <c r="N11" s="49"/>
      <c r="O11" s="49"/>
      <c r="P11" s="49"/>
      <c r="Q11" s="49"/>
      <c r="R11" s="49"/>
      <c r="S11" s="49"/>
      <c r="T11" s="49"/>
      <c r="U11" s="49"/>
      <c r="V11" s="49"/>
      <c r="W11" s="49"/>
      <c r="X11" s="49"/>
    </row>
    <row r="12" spans="1:25" s="21" customFormat="1" ht="24.95" customHeight="1" x14ac:dyDescent="0.2">
      <c r="A12" s="285" t="s">
        <v>1</v>
      </c>
      <c r="B12" s="285"/>
      <c r="C12" s="285"/>
      <c r="D12" s="285"/>
      <c r="E12" s="285"/>
      <c r="F12" s="285"/>
      <c r="G12" s="285"/>
      <c r="H12" s="285"/>
      <c r="I12" s="285"/>
      <c r="J12" s="285"/>
      <c r="K12" s="285"/>
      <c r="L12" s="285"/>
      <c r="M12" s="285"/>
      <c r="N12" s="285"/>
      <c r="O12" s="285"/>
      <c r="P12" s="285"/>
      <c r="Q12" s="285"/>
      <c r="R12" s="285"/>
      <c r="S12" s="285"/>
      <c r="T12" s="285"/>
      <c r="U12" s="285"/>
      <c r="V12" s="285"/>
      <c r="W12" s="285"/>
      <c r="X12" s="285"/>
    </row>
    <row r="13" spans="1:25" s="21" customFormat="1" x14ac:dyDescent="0.2">
      <c r="A13" s="22"/>
      <c r="B13" s="22"/>
      <c r="F13" s="23"/>
      <c r="G13" s="23"/>
      <c r="H13" s="23"/>
    </row>
    <row r="14" spans="1:25" s="21" customFormat="1" x14ac:dyDescent="0.2">
      <c r="A14" s="284" t="s">
        <v>24</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row>
    <row r="15" spans="1:25" s="21" customFormat="1" x14ac:dyDescent="0.2">
      <c r="A15" s="22"/>
      <c r="B15" s="22"/>
      <c r="F15" s="23"/>
      <c r="G15" s="23"/>
      <c r="H15" s="23"/>
    </row>
    <row r="16" spans="1:25" s="21" customFormat="1" x14ac:dyDescent="0.2">
      <c r="A16" s="252" t="s">
        <v>187</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row>
    <row r="17" spans="1:25" s="21" customFormat="1" ht="6" customHeight="1" x14ac:dyDescent="0.2">
      <c r="A17" s="48"/>
      <c r="B17" s="48"/>
      <c r="C17" s="48"/>
      <c r="D17" s="48"/>
      <c r="E17" s="48"/>
      <c r="F17" s="48"/>
      <c r="G17" s="48"/>
      <c r="H17" s="48"/>
      <c r="I17" s="48"/>
      <c r="J17" s="48"/>
      <c r="K17" s="48"/>
      <c r="L17" s="48"/>
      <c r="M17" s="48"/>
      <c r="N17" s="48"/>
      <c r="O17" s="48"/>
      <c r="P17" s="48"/>
      <c r="Q17" s="48"/>
      <c r="R17" s="48"/>
      <c r="S17" s="48"/>
      <c r="T17" s="48"/>
      <c r="U17" s="48"/>
      <c r="V17" s="48"/>
      <c r="W17" s="48"/>
      <c r="X17" s="48"/>
    </row>
    <row r="18" spans="1:25" s="21" customFormat="1" x14ac:dyDescent="0.2">
      <c r="A18" s="254" t="s">
        <v>188</v>
      </c>
      <c r="B18" s="254"/>
      <c r="C18" s="255"/>
      <c r="D18" s="255"/>
      <c r="E18" s="255"/>
      <c r="F18" s="255"/>
      <c r="G18" s="255"/>
      <c r="H18" s="255"/>
      <c r="I18" s="255"/>
      <c r="J18" s="255"/>
      <c r="K18" s="255"/>
      <c r="L18" s="255"/>
      <c r="M18" s="255"/>
      <c r="N18" s="255"/>
      <c r="O18" s="255"/>
      <c r="P18" s="255"/>
      <c r="Q18" s="255"/>
      <c r="R18" s="255"/>
      <c r="S18" s="255"/>
      <c r="T18" s="255"/>
      <c r="U18" s="255"/>
      <c r="V18" s="255"/>
      <c r="W18" s="255"/>
      <c r="X18" s="255"/>
    </row>
    <row r="19" spans="1:25" s="21" customFormat="1" x14ac:dyDescent="0.2">
      <c r="A19" s="22"/>
      <c r="B19" s="22"/>
      <c r="F19" s="23"/>
      <c r="G19" s="23"/>
      <c r="H19" s="23"/>
    </row>
    <row r="20" spans="1:25" s="21" customFormat="1" x14ac:dyDescent="0.2">
      <c r="A20" s="22"/>
      <c r="B20" s="22"/>
      <c r="F20" s="23"/>
      <c r="G20" s="23"/>
      <c r="H20" s="23"/>
    </row>
    <row r="21" spans="1:25" s="21" customFormat="1" x14ac:dyDescent="0.2">
      <c r="B21" s="22"/>
      <c r="F21" s="23"/>
      <c r="G21" s="23"/>
      <c r="H21" s="23"/>
    </row>
    <row r="22" spans="1:25" s="21" customFormat="1" ht="12.75" customHeight="1" x14ac:dyDescent="0.2">
      <c r="A22" s="252" t="s">
        <v>190</v>
      </c>
      <c r="B22" s="253"/>
      <c r="C22" s="253"/>
      <c r="D22" s="253"/>
      <c r="E22" s="253"/>
      <c r="F22" s="253"/>
      <c r="G22" s="253"/>
      <c r="H22" s="253"/>
      <c r="I22" s="253"/>
      <c r="J22" s="223"/>
      <c r="K22" s="223"/>
      <c r="L22" s="223"/>
      <c r="M22" s="223"/>
      <c r="N22" s="223"/>
      <c r="O22" s="223"/>
      <c r="P22" s="223"/>
      <c r="Q22" s="223"/>
      <c r="R22" s="223"/>
      <c r="S22" s="223"/>
      <c r="T22" s="223"/>
      <c r="U22" s="223"/>
      <c r="V22" s="223"/>
      <c r="W22" s="223"/>
      <c r="X22" s="223"/>
      <c r="Y22" s="223"/>
    </row>
    <row r="23" spans="1:25" s="21" customFormat="1" ht="6" customHeight="1" x14ac:dyDescent="0.2">
      <c r="A23" s="48"/>
    </row>
    <row r="24" spans="1:25" s="21" customFormat="1" ht="12.75" customHeight="1" x14ac:dyDescent="0.2">
      <c r="A24" s="254" t="s">
        <v>191</v>
      </c>
      <c r="B24" s="254"/>
      <c r="C24" s="255"/>
      <c r="D24" s="255"/>
      <c r="E24" s="255"/>
      <c r="F24" s="255"/>
      <c r="G24" s="255"/>
      <c r="H24" s="255"/>
      <c r="I24" s="255"/>
      <c r="J24" s="255"/>
      <c r="K24" s="255"/>
      <c r="L24" s="255"/>
      <c r="M24" s="255"/>
      <c r="N24" s="255"/>
      <c r="O24" s="255"/>
      <c r="P24" s="255"/>
      <c r="Q24" s="255"/>
      <c r="R24" s="255"/>
      <c r="S24" s="255"/>
      <c r="T24" s="255"/>
      <c r="U24" s="255"/>
      <c r="V24" s="255"/>
      <c r="W24" s="255"/>
      <c r="X24" s="255"/>
    </row>
    <row r="25" spans="1:25" s="21" customFormat="1" ht="6" customHeight="1" x14ac:dyDescent="0.2">
      <c r="A25" s="50"/>
      <c r="B25" s="50"/>
      <c r="C25" s="51"/>
      <c r="D25" s="51"/>
      <c r="E25" s="51"/>
      <c r="F25" s="51"/>
      <c r="G25" s="51"/>
      <c r="H25" s="51"/>
      <c r="I25" s="51"/>
      <c r="J25" s="51"/>
      <c r="K25" s="51"/>
      <c r="L25" s="51"/>
      <c r="M25" s="51"/>
      <c r="N25" s="51"/>
      <c r="O25" s="51"/>
      <c r="P25" s="51"/>
      <c r="Q25" s="51"/>
      <c r="R25" s="51"/>
      <c r="S25" s="51"/>
      <c r="T25" s="51"/>
      <c r="U25" s="51"/>
      <c r="V25" s="51"/>
      <c r="W25" s="51"/>
      <c r="X25" s="51"/>
    </row>
    <row r="26" spans="1:25" s="21" customFormat="1" ht="12.75" customHeight="1" x14ac:dyDescent="0.2">
      <c r="A26" s="250" t="s">
        <v>192</v>
      </c>
      <c r="B26" s="250"/>
      <c r="C26" s="251"/>
      <c r="D26" s="251"/>
      <c r="E26" s="251"/>
      <c r="F26" s="251"/>
      <c r="G26" s="251"/>
      <c r="H26" s="251"/>
      <c r="I26" s="251"/>
      <c r="J26" s="251"/>
      <c r="K26" s="251"/>
      <c r="L26" s="251"/>
      <c r="M26" s="251"/>
      <c r="N26" s="251"/>
      <c r="O26" s="251"/>
      <c r="P26" s="251"/>
      <c r="Q26" s="251"/>
      <c r="R26" s="251"/>
      <c r="S26" s="251"/>
      <c r="T26" s="251"/>
      <c r="U26" s="251"/>
      <c r="V26" s="251"/>
      <c r="W26" s="251"/>
      <c r="X26" s="251"/>
    </row>
    <row r="27" spans="1:25" s="21" customFormat="1" ht="6" customHeight="1" x14ac:dyDescent="0.2">
      <c r="A27" s="25"/>
      <c r="B27" s="25"/>
      <c r="F27" s="23"/>
      <c r="G27" s="23"/>
      <c r="H27" s="23"/>
    </row>
    <row r="28" spans="1:25" ht="12.75" customHeight="1" x14ac:dyDescent="0.2">
      <c r="A28" s="248" t="s">
        <v>178</v>
      </c>
      <c r="B28" s="259"/>
      <c r="C28" s="248" t="s">
        <v>171</v>
      </c>
      <c r="D28" s="249"/>
      <c r="E28" s="259"/>
      <c r="F28" s="248" t="s">
        <v>172</v>
      </c>
      <c r="G28" s="249"/>
      <c r="H28" s="249"/>
      <c r="I28" s="259"/>
      <c r="J28" s="248" t="s">
        <v>173</v>
      </c>
      <c r="K28" s="249"/>
      <c r="L28" s="249"/>
      <c r="M28" s="249"/>
      <c r="N28" s="249"/>
      <c r="O28" s="259"/>
      <c r="P28" s="248" t="s">
        <v>0</v>
      </c>
      <c r="Q28" s="249"/>
      <c r="R28" s="249"/>
      <c r="S28" s="249"/>
      <c r="T28" s="249"/>
      <c r="U28" s="249"/>
      <c r="V28" s="249"/>
      <c r="W28" s="249"/>
      <c r="X28" s="259"/>
    </row>
    <row r="29" spans="1:25" ht="12.75" customHeight="1" x14ac:dyDescent="0.2">
      <c r="A29" s="243" t="s">
        <v>260</v>
      </c>
      <c r="B29" s="260"/>
      <c r="C29" s="243" t="s">
        <v>235</v>
      </c>
      <c r="D29" s="244"/>
      <c r="E29" s="245"/>
      <c r="F29" s="243" t="s">
        <v>255</v>
      </c>
      <c r="G29" s="316"/>
      <c r="H29" s="316"/>
      <c r="I29" s="260"/>
      <c r="J29" s="243" t="s">
        <v>256</v>
      </c>
      <c r="K29" s="316"/>
      <c r="L29" s="316"/>
      <c r="M29" s="316"/>
      <c r="N29" s="316"/>
      <c r="O29" s="260"/>
      <c r="P29" s="243" t="s">
        <v>257</v>
      </c>
      <c r="Q29" s="316"/>
      <c r="R29" s="316"/>
      <c r="S29" s="316"/>
      <c r="T29" s="316"/>
      <c r="U29" s="316"/>
      <c r="V29" s="316"/>
      <c r="W29" s="316"/>
      <c r="X29" s="260"/>
    </row>
    <row r="30" spans="1:25" ht="6" customHeight="1" x14ac:dyDescent="0.2">
      <c r="A30" s="3"/>
      <c r="B30" s="3"/>
      <c r="C30" s="3"/>
      <c r="D30" s="3"/>
      <c r="E30" s="3"/>
      <c r="F30" s="3"/>
      <c r="G30" s="3"/>
      <c r="H30" s="3"/>
      <c r="I30" s="3"/>
      <c r="J30" s="3"/>
      <c r="K30" s="3"/>
      <c r="L30" s="3"/>
      <c r="M30" s="3"/>
      <c r="N30" s="3"/>
      <c r="O30" s="3"/>
      <c r="P30" s="3"/>
      <c r="Q30" s="3"/>
      <c r="R30" s="3"/>
      <c r="S30" s="3"/>
      <c r="T30" s="3"/>
      <c r="U30" s="3"/>
      <c r="V30" s="3"/>
    </row>
    <row r="31" spans="1:25" x14ac:dyDescent="0.2">
      <c r="A31" s="248" t="s">
        <v>174</v>
      </c>
      <c r="B31" s="249"/>
      <c r="C31" s="249"/>
      <c r="D31" s="249"/>
      <c r="E31" s="249"/>
      <c r="F31" s="259"/>
      <c r="G31" s="248" t="s">
        <v>175</v>
      </c>
      <c r="H31" s="249"/>
      <c r="I31" s="249"/>
      <c r="J31" s="259"/>
      <c r="K31" s="248" t="s">
        <v>176</v>
      </c>
      <c r="L31" s="249"/>
      <c r="M31" s="249"/>
      <c r="N31" s="249"/>
      <c r="O31" s="249"/>
      <c r="P31" s="259"/>
      <c r="Q31" s="248" t="s">
        <v>181</v>
      </c>
      <c r="R31" s="249"/>
      <c r="S31" s="249"/>
      <c r="T31" s="249"/>
      <c r="U31" s="249"/>
      <c r="V31" s="249"/>
      <c r="W31" s="249"/>
      <c r="X31" s="259"/>
    </row>
    <row r="32" spans="1:25" x14ac:dyDescent="0.2">
      <c r="A32" s="317" t="s">
        <v>231</v>
      </c>
      <c r="B32" s="318"/>
      <c r="C32" s="318"/>
      <c r="D32" s="318"/>
      <c r="E32" s="318"/>
      <c r="F32" s="319"/>
      <c r="G32" s="243" t="s">
        <v>230</v>
      </c>
      <c r="H32" s="244"/>
      <c r="I32" s="244"/>
      <c r="J32" s="245"/>
      <c r="K32" s="243" t="s">
        <v>258</v>
      </c>
      <c r="L32" s="316"/>
      <c r="M32" s="316"/>
      <c r="N32" s="316"/>
      <c r="O32" s="316"/>
      <c r="P32" s="260"/>
      <c r="Q32" s="243" t="s">
        <v>259</v>
      </c>
      <c r="R32" s="316"/>
      <c r="S32" s="316"/>
      <c r="T32" s="316"/>
      <c r="U32" s="316"/>
      <c r="V32" s="316"/>
      <c r="W32" s="316"/>
      <c r="X32" s="260"/>
    </row>
    <row r="33" spans="1:24" s="21" customFormat="1" ht="9" customHeight="1" x14ac:dyDescent="0.2">
      <c r="A33" s="22"/>
      <c r="B33" s="22"/>
      <c r="F33" s="23"/>
      <c r="G33" s="23"/>
      <c r="H33" s="23"/>
    </row>
    <row r="34" spans="1:24" s="27" customFormat="1" x14ac:dyDescent="0.2"/>
    <row r="35" spans="1:24" s="21" customFormat="1" ht="12.75" customHeight="1" x14ac:dyDescent="0.2">
      <c r="A35" s="250" t="s">
        <v>193</v>
      </c>
      <c r="B35" s="250"/>
      <c r="C35" s="251"/>
      <c r="D35" s="251"/>
      <c r="E35" s="251"/>
      <c r="F35" s="251"/>
      <c r="G35" s="251"/>
      <c r="H35" s="251"/>
      <c r="I35" s="251"/>
      <c r="J35" s="251"/>
      <c r="K35" s="251"/>
      <c r="L35" s="251"/>
      <c r="M35" s="251"/>
      <c r="N35" s="251"/>
      <c r="O35" s="251"/>
      <c r="P35" s="251"/>
      <c r="Q35" s="251"/>
      <c r="R35" s="251"/>
      <c r="S35" s="251"/>
      <c r="T35" s="251"/>
      <c r="U35" s="251"/>
      <c r="V35" s="251"/>
      <c r="W35" s="251"/>
      <c r="X35" s="251"/>
    </row>
    <row r="36" spans="1:24" s="21" customFormat="1" ht="6" customHeight="1" x14ac:dyDescent="0.2">
      <c r="A36" s="26"/>
      <c r="B36" s="26"/>
      <c r="C36" s="32"/>
      <c r="D36" s="32"/>
      <c r="E36" s="32"/>
      <c r="F36" s="32"/>
      <c r="G36" s="32"/>
      <c r="H36" s="32"/>
      <c r="I36" s="32"/>
      <c r="J36" s="32"/>
      <c r="K36" s="32"/>
      <c r="L36" s="32"/>
      <c r="M36" s="32"/>
      <c r="N36" s="32"/>
      <c r="O36" s="32"/>
      <c r="P36" s="32"/>
      <c r="Q36" s="32"/>
      <c r="R36" s="32"/>
      <c r="S36" s="32"/>
      <c r="T36" s="32"/>
      <c r="U36" s="32"/>
      <c r="V36" s="32"/>
      <c r="W36" s="32"/>
      <c r="X36" s="32"/>
    </row>
    <row r="37" spans="1:24" s="21" customFormat="1" ht="12.75" customHeight="1" x14ac:dyDescent="0.2">
      <c r="A37" s="248" t="s">
        <v>16</v>
      </c>
      <c r="B37" s="259"/>
      <c r="C37" s="92" t="s">
        <v>91</v>
      </c>
      <c r="D37" s="248" t="s">
        <v>14</v>
      </c>
      <c r="E37" s="249"/>
      <c r="F37" s="259"/>
      <c r="G37" s="248" t="s">
        <v>12</v>
      </c>
      <c r="H37" s="249"/>
      <c r="I37" s="249"/>
      <c r="J37" s="249"/>
      <c r="K37" s="249"/>
      <c r="L37" s="249"/>
      <c r="M37" s="249"/>
      <c r="N37" s="249"/>
      <c r="O37" s="249"/>
      <c r="P37" s="249"/>
      <c r="Q37" s="249"/>
      <c r="R37" s="249"/>
      <c r="S37" s="259"/>
      <c r="T37" s="93" t="s">
        <v>7</v>
      </c>
      <c r="U37" s="93" t="s">
        <v>8</v>
      </c>
      <c r="V37" s="93" t="s">
        <v>9</v>
      </c>
      <c r="W37" s="93" t="s">
        <v>10</v>
      </c>
      <c r="X37" s="93" t="s">
        <v>11</v>
      </c>
    </row>
    <row r="38" spans="1:24" s="21" customFormat="1" ht="12.75" customHeight="1" x14ac:dyDescent="0.2">
      <c r="A38" s="264">
        <v>43494</v>
      </c>
      <c r="B38" s="265"/>
      <c r="C38" s="91" t="s">
        <v>254</v>
      </c>
      <c r="D38" s="243" t="s">
        <v>69</v>
      </c>
      <c r="E38" s="244"/>
      <c r="F38" s="245"/>
      <c r="G38" s="243" t="s">
        <v>261</v>
      </c>
      <c r="H38" s="244"/>
      <c r="I38" s="244"/>
      <c r="J38" s="244"/>
      <c r="K38" s="244"/>
      <c r="L38" s="244"/>
      <c r="M38" s="244"/>
      <c r="N38" s="244"/>
      <c r="O38" s="244"/>
      <c r="P38" s="244"/>
      <c r="Q38" s="244"/>
      <c r="R38" s="244"/>
      <c r="S38" s="245"/>
      <c r="T38" s="95">
        <f ca="1">IF(ISERROR(INDIRECT("'BDI ("&amp;RIGHT(T37,1)&amp;")'!N27")),"",INDIRECT("'BDI ("&amp;RIGHT(T37,1)&amp;")'!N27"))</f>
        <v>0.24179999999999999</v>
      </c>
      <c r="U38" s="96" t="str">
        <f ca="1">IF(ISERROR(INDIRECT("'BDI ("&amp;RIGHT(U37,1)&amp;")'!N27")),"",INDIRECT("'BDI ("&amp;RIGHT(U37,1)&amp;")'!N27"))</f>
        <v/>
      </c>
      <c r="V38" s="96" t="str">
        <f ca="1">IF(ISERROR(INDIRECT("'BDI ("&amp;RIGHT(V37,1)&amp;")'!N27")),"",INDIRECT("'BDI ("&amp;RIGHT(V37,1)&amp;")'!N27"))</f>
        <v/>
      </c>
      <c r="W38" s="96" t="str">
        <f ca="1">IF(ISERROR(INDIRECT("'BDI ("&amp;RIGHT(W37,1)&amp;")'!N27")),"",INDIRECT("'BDI ("&amp;RIGHT(W37,1)&amp;")'!N27"))</f>
        <v/>
      </c>
      <c r="X38" s="96" t="str">
        <f ca="1">IF(ISERROR(INDIRECT("'BDI ("&amp;RIGHT(X37,1)&amp;")'!N27")),"",INDIRECT("'BDI ("&amp;RIGHT(X37,1)&amp;")'!N27"))</f>
        <v/>
      </c>
    </row>
    <row r="39" spans="1:24" s="21" customFormat="1" ht="11.25" customHeight="1" x14ac:dyDescent="0.2">
      <c r="A39" s="26"/>
      <c r="B39" s="26"/>
      <c r="C39" s="32"/>
      <c r="D39" s="32"/>
      <c r="E39" s="32"/>
      <c r="F39" s="32"/>
      <c r="G39" s="32"/>
      <c r="H39" s="32"/>
      <c r="I39" s="32"/>
      <c r="J39" s="32"/>
      <c r="K39" s="32"/>
      <c r="L39" s="32"/>
      <c r="M39" s="32"/>
      <c r="N39" s="32"/>
      <c r="O39" s="32"/>
      <c r="P39" s="32"/>
      <c r="Q39" s="32"/>
      <c r="R39" s="32"/>
      <c r="S39" s="32"/>
      <c r="T39" s="32"/>
      <c r="U39" s="32"/>
      <c r="V39" s="32"/>
      <c r="W39" s="32"/>
      <c r="X39" s="32"/>
    </row>
    <row r="40" spans="1:24" s="21" customFormat="1" ht="12.75" customHeight="1" x14ac:dyDescent="0.2">
      <c r="A40" s="250" t="s">
        <v>163</v>
      </c>
      <c r="B40" s="250"/>
      <c r="C40" s="251"/>
      <c r="D40" s="251"/>
      <c r="E40" s="251"/>
      <c r="F40" s="251"/>
      <c r="G40" s="251"/>
      <c r="H40" s="251"/>
      <c r="I40" s="251"/>
      <c r="J40" s="251"/>
      <c r="K40" s="251"/>
      <c r="L40" s="251"/>
      <c r="M40" s="251"/>
      <c r="N40" s="251"/>
      <c r="O40" s="251"/>
      <c r="P40" s="251"/>
      <c r="Q40" s="251"/>
      <c r="R40" s="251"/>
      <c r="S40" s="251"/>
      <c r="T40" s="251"/>
      <c r="U40" s="251"/>
      <c r="V40" s="251"/>
      <c r="W40" s="251"/>
      <c r="X40" s="251"/>
    </row>
    <row r="41" spans="1:24" s="21" customFormat="1" ht="6" customHeight="1" x14ac:dyDescent="0.2">
      <c r="A41" s="26"/>
      <c r="B41" s="26"/>
      <c r="C41" s="32"/>
      <c r="D41" s="32"/>
      <c r="E41" s="32"/>
      <c r="F41" s="32"/>
      <c r="G41" s="32"/>
      <c r="H41" s="32"/>
      <c r="I41" s="32"/>
      <c r="J41" s="32"/>
      <c r="K41" s="32"/>
      <c r="L41" s="32"/>
      <c r="M41" s="32"/>
      <c r="N41" s="32"/>
      <c r="O41" s="32"/>
      <c r="P41" s="32"/>
      <c r="Q41" s="32"/>
      <c r="R41" s="32"/>
      <c r="S41" s="32"/>
      <c r="T41" s="32"/>
      <c r="U41" s="32"/>
      <c r="V41" s="32"/>
      <c r="W41" s="32"/>
      <c r="X41" s="32"/>
    </row>
    <row r="42" spans="1:24" s="21" customFormat="1" ht="12.75" customHeight="1" x14ac:dyDescent="0.2">
      <c r="A42" s="248" t="s">
        <v>87</v>
      </c>
      <c r="B42" s="259"/>
      <c r="C42" s="248" t="s">
        <v>112</v>
      </c>
      <c r="D42" s="249"/>
      <c r="E42" s="249"/>
      <c r="F42" s="249"/>
      <c r="G42" s="249"/>
      <c r="H42" s="248" t="s">
        <v>16</v>
      </c>
      <c r="I42" s="249"/>
      <c r="J42" s="28" t="s">
        <v>91</v>
      </c>
      <c r="K42" s="248" t="s">
        <v>88</v>
      </c>
      <c r="L42" s="249"/>
      <c r="M42" s="259"/>
      <c r="N42" s="28" t="s">
        <v>92</v>
      </c>
      <c r="O42" s="248" t="s">
        <v>93</v>
      </c>
      <c r="P42" s="249"/>
      <c r="Q42" s="249"/>
      <c r="R42" s="249"/>
      <c r="S42" s="249"/>
      <c r="T42" s="259"/>
      <c r="U42" s="266" t="s">
        <v>89</v>
      </c>
      <c r="V42" s="267"/>
      <c r="W42" s="266" t="s">
        <v>90</v>
      </c>
      <c r="X42" s="267"/>
    </row>
    <row r="43" spans="1:24" s="21" customFormat="1" ht="12.75" customHeight="1" x14ac:dyDescent="0.2">
      <c r="A43" s="287"/>
      <c r="B43" s="288"/>
      <c r="C43" s="243"/>
      <c r="D43" s="244"/>
      <c r="E43" s="244"/>
      <c r="F43" s="244"/>
      <c r="G43" s="244"/>
      <c r="H43" s="264"/>
      <c r="I43" s="265"/>
      <c r="J43" s="88"/>
      <c r="K43" s="320"/>
      <c r="L43" s="321"/>
      <c r="M43" s="322"/>
      <c r="N43" s="104"/>
      <c r="O43" s="275"/>
      <c r="P43" s="276"/>
      <c r="Q43" s="276"/>
      <c r="R43" s="277"/>
      <c r="S43" s="277"/>
      <c r="T43" s="278"/>
      <c r="U43" s="273"/>
      <c r="V43" s="279"/>
      <c r="W43" s="273"/>
      <c r="X43" s="274"/>
    </row>
    <row r="44" spans="1:24" s="21" customFormat="1" ht="12.75" customHeight="1" x14ac:dyDescent="0.2">
      <c r="A44" s="26"/>
      <c r="B44" s="26"/>
      <c r="C44" s="32"/>
      <c r="D44" s="32"/>
      <c r="E44" s="32"/>
      <c r="F44" s="32"/>
      <c r="G44" s="32"/>
      <c r="H44" s="32"/>
      <c r="I44" s="32"/>
      <c r="J44" s="32"/>
      <c r="K44" s="32"/>
      <c r="L44" s="32"/>
      <c r="M44" s="32"/>
      <c r="N44" s="32"/>
      <c r="O44" s="32"/>
      <c r="P44" s="32"/>
      <c r="Q44" s="32"/>
      <c r="R44" s="32"/>
      <c r="S44" s="32"/>
      <c r="T44" s="32"/>
      <c r="U44" s="32"/>
      <c r="V44" s="32"/>
      <c r="W44" s="32"/>
      <c r="X44" s="32"/>
    </row>
    <row r="45" spans="1:24" s="21" customFormat="1" ht="12.75" customHeight="1" x14ac:dyDescent="0.2">
      <c r="A45" s="250" t="s">
        <v>194</v>
      </c>
      <c r="B45" s="250"/>
      <c r="C45" s="251"/>
      <c r="D45" s="251"/>
      <c r="E45" s="251"/>
      <c r="F45" s="251"/>
      <c r="G45" s="251"/>
      <c r="H45" s="251"/>
      <c r="I45" s="251"/>
      <c r="J45" s="251"/>
      <c r="K45" s="251"/>
      <c r="L45" s="251"/>
      <c r="M45" s="251"/>
      <c r="N45" s="251"/>
      <c r="O45" s="251"/>
      <c r="P45" s="251"/>
      <c r="Q45" s="251"/>
      <c r="R45" s="251"/>
      <c r="S45" s="251"/>
      <c r="T45" s="251"/>
      <c r="U45" s="251"/>
      <c r="V45" s="251"/>
      <c r="W45" s="251"/>
      <c r="X45" s="251"/>
    </row>
    <row r="46" spans="1:24" s="21" customFormat="1" ht="6" customHeight="1" x14ac:dyDescent="0.2">
      <c r="A46" s="26"/>
      <c r="B46" s="26"/>
      <c r="C46" s="32"/>
      <c r="D46" s="32"/>
      <c r="E46" s="32"/>
      <c r="F46" s="32"/>
      <c r="G46" s="32"/>
      <c r="H46" s="32"/>
      <c r="I46" s="32"/>
      <c r="J46" s="32"/>
      <c r="K46" s="32"/>
      <c r="L46" s="32"/>
      <c r="M46" s="32"/>
      <c r="N46" s="32"/>
      <c r="O46" s="32"/>
      <c r="P46" s="32"/>
      <c r="Q46" s="32"/>
      <c r="R46" s="32"/>
      <c r="S46" s="32"/>
      <c r="T46" s="32"/>
      <c r="U46" s="32"/>
      <c r="V46" s="32"/>
      <c r="W46" s="32"/>
      <c r="X46" s="32"/>
    </row>
    <row r="47" spans="1:24" s="21" customFormat="1" x14ac:dyDescent="0.2">
      <c r="A47" s="28" t="s">
        <v>15</v>
      </c>
      <c r="B47" s="29"/>
      <c r="C47" s="30"/>
    </row>
    <row r="48" spans="1:24" s="21" customFormat="1" x14ac:dyDescent="0.2">
      <c r="A48" s="301">
        <v>43644</v>
      </c>
      <c r="B48" s="302"/>
      <c r="C48" s="303"/>
      <c r="E48" s="37"/>
    </row>
    <row r="49" spans="1:24" s="21" customFormat="1" x14ac:dyDescent="0.2">
      <c r="A49" s="22"/>
      <c r="B49" s="22"/>
      <c r="F49" s="33"/>
      <c r="G49" s="34"/>
      <c r="H49" s="35"/>
    </row>
    <row r="50" spans="1:24" s="21" customFormat="1" x14ac:dyDescent="0.2">
      <c r="A50" s="250" t="s">
        <v>195</v>
      </c>
      <c r="B50" s="250"/>
      <c r="C50" s="251"/>
      <c r="D50" s="251"/>
      <c r="E50" s="251"/>
      <c r="F50" s="251"/>
      <c r="G50" s="251"/>
      <c r="H50" s="251"/>
      <c r="I50" s="251"/>
      <c r="J50" s="251"/>
      <c r="K50" s="251"/>
      <c r="L50" s="251"/>
      <c r="M50" s="251"/>
      <c r="N50" s="251"/>
      <c r="O50" s="251"/>
      <c r="P50" s="251"/>
      <c r="Q50" s="251"/>
      <c r="R50" s="251"/>
      <c r="S50" s="251"/>
      <c r="T50" s="251"/>
      <c r="U50" s="251"/>
      <c r="V50" s="251"/>
      <c r="W50" s="251"/>
      <c r="X50" s="251"/>
    </row>
    <row r="51" spans="1:24" s="21" customFormat="1" x14ac:dyDescent="0.2">
      <c r="A51" s="26"/>
      <c r="B51" s="26"/>
      <c r="C51" s="32"/>
      <c r="D51" s="32"/>
      <c r="E51" s="32"/>
      <c r="F51" s="32"/>
      <c r="G51" s="32"/>
      <c r="H51" s="32"/>
      <c r="I51" s="32"/>
      <c r="J51" s="32"/>
      <c r="K51" s="32"/>
      <c r="L51" s="32"/>
      <c r="M51"/>
      <c r="N51"/>
      <c r="O51"/>
      <c r="P51"/>
      <c r="Q51"/>
      <c r="R51"/>
      <c r="S51"/>
      <c r="T51"/>
      <c r="U51"/>
      <c r="V51"/>
      <c r="W51"/>
      <c r="X51"/>
    </row>
    <row r="52" spans="1:24" s="21" customFormat="1" x14ac:dyDescent="0.2">
      <c r="A52" s="26"/>
      <c r="B52" s="26"/>
      <c r="C52" s="32"/>
      <c r="D52" s="32"/>
      <c r="E52" s="32"/>
      <c r="F52" s="32"/>
      <c r="G52" s="8" t="s">
        <v>18</v>
      </c>
      <c r="H52" s="32"/>
      <c r="I52" s="32"/>
      <c r="K52" s="86" t="s">
        <v>104</v>
      </c>
      <c r="L52" s="32"/>
      <c r="M52"/>
      <c r="N52"/>
      <c r="O52"/>
      <c r="P52"/>
      <c r="Q52"/>
      <c r="R52"/>
      <c r="S52"/>
      <c r="T52"/>
      <c r="U52"/>
      <c r="V52"/>
      <c r="W52"/>
      <c r="X52"/>
    </row>
    <row r="53" spans="1:24" s="21" customFormat="1" x14ac:dyDescent="0.2">
      <c r="A53" s="39"/>
      <c r="B53" s="39"/>
      <c r="C53" s="40"/>
      <c r="D53" s="40"/>
      <c r="E53" s="40"/>
      <c r="F53" s="33"/>
      <c r="G53" s="39"/>
      <c r="H53" s="39"/>
      <c r="I53" s="40"/>
      <c r="J53" s="40"/>
      <c r="K53" s="40"/>
      <c r="L53" s="2"/>
      <c r="M53"/>
      <c r="N53"/>
      <c r="O53"/>
      <c r="P53"/>
      <c r="Q53"/>
      <c r="R53"/>
      <c r="S53"/>
      <c r="T53"/>
      <c r="U53"/>
      <c r="V53"/>
      <c r="W53"/>
      <c r="X53"/>
    </row>
    <row r="54" spans="1:24" s="21" customFormat="1" x14ac:dyDescent="0.2">
      <c r="A54" s="101" t="s">
        <v>141</v>
      </c>
      <c r="B54" s="304" t="s">
        <v>232</v>
      </c>
      <c r="C54" s="304"/>
      <c r="D54" s="304"/>
      <c r="E54" s="304"/>
      <c r="F54" s="33"/>
      <c r="G54" s="101" t="s">
        <v>141</v>
      </c>
      <c r="H54" s="304"/>
      <c r="I54" s="304"/>
      <c r="J54" s="304"/>
      <c r="K54" s="304"/>
      <c r="L54" s="2"/>
      <c r="M54"/>
      <c r="N54"/>
      <c r="O54"/>
      <c r="P54"/>
      <c r="Q54"/>
      <c r="R54"/>
      <c r="S54"/>
      <c r="T54"/>
      <c r="U54"/>
      <c r="V54"/>
      <c r="W54"/>
      <c r="X54"/>
    </row>
    <row r="55" spans="1:24" s="21" customFormat="1" x14ac:dyDescent="0.2">
      <c r="A55" s="101" t="str">
        <f>IF(OR(TipoOrçamento="BASE",TipoOrçamento="REPROGRAMADONPL"),"Título:","Cargo:")</f>
        <v>Título:</v>
      </c>
      <c r="B55" s="304" t="s">
        <v>233</v>
      </c>
      <c r="C55" s="304"/>
      <c r="D55" s="304"/>
      <c r="E55" s="304"/>
      <c r="F55" s="33"/>
      <c r="G55" s="101" t="str">
        <f>A55</f>
        <v>Título:</v>
      </c>
      <c r="H55" s="304"/>
      <c r="I55" s="304"/>
      <c r="J55" s="304"/>
      <c r="K55" s="304"/>
      <c r="L55" s="2"/>
      <c r="M55"/>
      <c r="N55"/>
      <c r="O55"/>
      <c r="P55"/>
      <c r="Q55"/>
      <c r="R55"/>
      <c r="S55"/>
      <c r="T55"/>
      <c r="U55"/>
      <c r="V55"/>
      <c r="W55"/>
      <c r="X55"/>
    </row>
    <row r="56" spans="1:24" s="21" customFormat="1" x14ac:dyDescent="0.2">
      <c r="A56" s="101" t="str">
        <f>IF(OR(TipoOrçamento="BASE",TipoOrçamento="REPROGRAMADONPL"),"CREA/CAU:","Empresa:")</f>
        <v>CREA/CAU:</v>
      </c>
      <c r="B56" s="286" t="s">
        <v>234</v>
      </c>
      <c r="C56" s="272"/>
      <c r="D56" s="272"/>
      <c r="E56" s="272"/>
      <c r="F56" s="33"/>
      <c r="G56" s="101" t="str">
        <f>A56</f>
        <v>CREA/CAU:</v>
      </c>
      <c r="H56" s="272"/>
      <c r="I56" s="272"/>
      <c r="J56" s="272"/>
      <c r="K56" s="272"/>
      <c r="L56" s="2"/>
      <c r="M56"/>
      <c r="N56"/>
      <c r="O56"/>
      <c r="P56"/>
      <c r="Q56"/>
      <c r="R56"/>
      <c r="S56"/>
      <c r="T56"/>
      <c r="U56"/>
      <c r="V56"/>
      <c r="W56"/>
      <c r="X56"/>
    </row>
    <row r="57" spans="1:24" s="21" customFormat="1" x14ac:dyDescent="0.2">
      <c r="A57" s="101" t="str">
        <f>IF(OR(TipoOrçamento="BASE",TipoOrçamento="REPROGRAMADONPL"),"ART/RRT:","CNPJ:")</f>
        <v>ART/RRT:</v>
      </c>
      <c r="B57" s="286" t="s">
        <v>274</v>
      </c>
      <c r="C57" s="272"/>
      <c r="D57" s="272"/>
      <c r="E57" s="272"/>
      <c r="F57" s="33"/>
      <c r="G57" s="101" t="str">
        <f>A57</f>
        <v>ART/RRT:</v>
      </c>
      <c r="H57" s="272"/>
      <c r="I57" s="272"/>
      <c r="J57" s="272"/>
      <c r="K57" s="272"/>
      <c r="L57" s="2"/>
      <c r="M57"/>
      <c r="N57"/>
      <c r="O57"/>
      <c r="P57"/>
      <c r="Q57"/>
      <c r="R57"/>
      <c r="S57"/>
      <c r="T57"/>
      <c r="U57"/>
      <c r="V57"/>
      <c r="W57"/>
      <c r="X57"/>
    </row>
    <row r="58" spans="1:24" s="21" customFormat="1" x14ac:dyDescent="0.2">
      <c r="A58" s="22"/>
      <c r="B58" s="22"/>
      <c r="F58" s="33"/>
      <c r="G58" s="34"/>
      <c r="H58" s="35"/>
      <c r="M58"/>
      <c r="N58"/>
      <c r="O58"/>
      <c r="P58"/>
      <c r="Q58"/>
      <c r="R58"/>
      <c r="S58"/>
      <c r="T58"/>
      <c r="U58"/>
      <c r="V58"/>
      <c r="W58"/>
      <c r="X58"/>
    </row>
    <row r="59" spans="1:24" s="21" customFormat="1" x14ac:dyDescent="0.2">
      <c r="A59" s="22"/>
      <c r="B59" s="22"/>
      <c r="F59" s="33"/>
      <c r="G59" s="34"/>
      <c r="H59" s="35"/>
      <c r="M59"/>
      <c r="N59"/>
      <c r="O59"/>
      <c r="P59"/>
      <c r="Q59"/>
      <c r="R59"/>
      <c r="S59"/>
      <c r="T59"/>
      <c r="U59"/>
      <c r="V59"/>
      <c r="W59"/>
      <c r="X59"/>
    </row>
    <row r="60" spans="1:24" s="21" customFormat="1" ht="12.75" customHeight="1" x14ac:dyDescent="0.2">
      <c r="A60" s="254" t="s">
        <v>196</v>
      </c>
      <c r="B60" s="254"/>
      <c r="C60" s="255"/>
      <c r="D60" s="255"/>
      <c r="E60" s="255"/>
      <c r="F60" s="255"/>
      <c r="G60" s="255"/>
      <c r="H60" s="255"/>
      <c r="I60" s="255"/>
      <c r="J60" s="255"/>
      <c r="K60" s="255"/>
      <c r="L60" s="255"/>
      <c r="M60" s="255"/>
      <c r="N60" s="255"/>
      <c r="O60" s="255"/>
      <c r="P60" s="255"/>
      <c r="Q60" s="255"/>
      <c r="R60" s="255"/>
      <c r="S60" s="255"/>
      <c r="T60" s="255"/>
      <c r="U60" s="255"/>
      <c r="V60" s="255"/>
      <c r="W60" s="255"/>
      <c r="X60" s="255"/>
    </row>
    <row r="61" spans="1:24" s="21" customFormat="1" x14ac:dyDescent="0.2">
      <c r="A61" s="50"/>
      <c r="B61" s="50"/>
      <c r="C61" s="51"/>
      <c r="D61" s="51"/>
      <c r="E61" s="51"/>
      <c r="F61" s="51"/>
      <c r="G61" s="51"/>
      <c r="H61" s="51"/>
      <c r="I61" s="51"/>
      <c r="J61" s="51"/>
      <c r="K61" s="51"/>
      <c r="L61" s="51"/>
      <c r="M61" s="51"/>
      <c r="N61" s="51"/>
      <c r="O61" s="51"/>
      <c r="P61" s="51"/>
      <c r="Q61" s="51"/>
      <c r="R61" s="51"/>
      <c r="S61" s="51"/>
      <c r="T61" s="51"/>
      <c r="U61" s="51"/>
      <c r="V61" s="51"/>
      <c r="W61" s="51"/>
      <c r="X61" s="51"/>
    </row>
    <row r="62" spans="1:24" s="161" customFormat="1" ht="12.75" customHeight="1" x14ac:dyDescent="0.2">
      <c r="A62" s="261" t="s">
        <v>197</v>
      </c>
      <c r="B62" s="262"/>
      <c r="C62" s="263"/>
      <c r="D62" s="263"/>
      <c r="E62" s="263"/>
      <c r="F62" s="263"/>
      <c r="G62" s="263"/>
      <c r="H62" s="263"/>
      <c r="I62" s="263"/>
      <c r="J62" s="263"/>
      <c r="K62" s="263"/>
      <c r="L62" s="263"/>
      <c r="M62" s="263"/>
      <c r="N62" s="263"/>
      <c r="O62" s="263"/>
      <c r="P62" s="263"/>
      <c r="Q62" s="263"/>
      <c r="R62" s="263"/>
      <c r="S62" s="263"/>
      <c r="T62" s="263"/>
      <c r="U62" s="263"/>
      <c r="V62" s="263"/>
      <c r="W62" s="263"/>
      <c r="X62" s="263"/>
    </row>
    <row r="63" spans="1:24" s="21" customFormat="1" ht="30" customHeight="1" x14ac:dyDescent="0.2">
      <c r="A63" s="261" t="s">
        <v>198</v>
      </c>
      <c r="B63" s="261"/>
      <c r="C63" s="305"/>
      <c r="D63" s="305"/>
      <c r="E63" s="305"/>
      <c r="F63" s="305"/>
      <c r="G63" s="305"/>
      <c r="H63" s="305"/>
      <c r="I63" s="305"/>
      <c r="J63" s="305"/>
      <c r="K63" s="305"/>
      <c r="L63" s="305"/>
      <c r="M63" s="305"/>
      <c r="N63" s="305"/>
      <c r="O63" s="305"/>
      <c r="P63" s="305"/>
      <c r="Q63" s="305"/>
      <c r="R63" s="305"/>
      <c r="S63" s="305"/>
      <c r="T63" s="305"/>
      <c r="U63" s="305"/>
      <c r="V63" s="305"/>
      <c r="W63" s="305"/>
      <c r="X63" s="305"/>
    </row>
    <row r="64" spans="1:24" s="21" customFormat="1" x14ac:dyDescent="0.2">
      <c r="A64" s="22"/>
      <c r="B64" s="22"/>
      <c r="F64" s="33"/>
      <c r="G64" s="34"/>
      <c r="H64" s="35"/>
      <c r="M64"/>
      <c r="N64"/>
      <c r="O64"/>
      <c r="P64"/>
      <c r="Q64"/>
      <c r="R64"/>
      <c r="S64"/>
      <c r="T64"/>
      <c r="U64"/>
      <c r="V64"/>
      <c r="W64"/>
      <c r="X64"/>
    </row>
    <row r="65" spans="1:24" s="21" customFormat="1" ht="12.75" customHeight="1" x14ac:dyDescent="0.2">
      <c r="A65" s="254" t="s">
        <v>199</v>
      </c>
      <c r="B65" s="254"/>
      <c r="C65" s="255"/>
      <c r="D65" s="255"/>
      <c r="E65" s="255"/>
      <c r="F65" s="255"/>
      <c r="G65" s="255"/>
      <c r="H65" s="255"/>
      <c r="I65" s="255"/>
      <c r="J65" s="255"/>
      <c r="K65" s="255"/>
      <c r="L65" s="255"/>
      <c r="M65" s="255"/>
      <c r="N65" s="255"/>
      <c r="O65" s="255"/>
      <c r="P65" s="255"/>
      <c r="Q65" s="255"/>
      <c r="R65" s="255"/>
      <c r="S65" s="255"/>
      <c r="T65" s="255"/>
      <c r="U65" s="255"/>
      <c r="V65" s="255"/>
      <c r="W65" s="255"/>
      <c r="X65" s="255"/>
    </row>
    <row r="66" spans="1:24" s="21" customFormat="1" x14ac:dyDescent="0.2">
      <c r="A66" s="50"/>
      <c r="B66" s="50"/>
      <c r="C66" s="51"/>
      <c r="D66" s="51"/>
      <c r="E66" s="51"/>
      <c r="F66" s="51"/>
      <c r="G66" s="51"/>
      <c r="H66" s="51"/>
      <c r="I66" s="51"/>
      <c r="J66" s="51"/>
      <c r="K66" s="51"/>
      <c r="L66" s="51"/>
      <c r="M66" s="51"/>
      <c r="N66" s="51"/>
      <c r="O66" s="51"/>
      <c r="P66" s="51"/>
      <c r="Q66" s="51"/>
      <c r="R66" s="51"/>
      <c r="S66" s="51"/>
      <c r="T66" s="51"/>
      <c r="U66" s="51"/>
      <c r="V66" s="51"/>
      <c r="W66" s="51"/>
      <c r="X66" s="51"/>
    </row>
    <row r="67" spans="1:24" s="21" customFormat="1" ht="12.75" customHeight="1" x14ac:dyDescent="0.2">
      <c r="A67" s="250" t="s">
        <v>200</v>
      </c>
      <c r="B67" s="250"/>
      <c r="C67" s="251"/>
      <c r="D67" s="251"/>
      <c r="E67" s="251"/>
      <c r="F67" s="251"/>
      <c r="G67" s="251"/>
      <c r="H67" s="251"/>
      <c r="I67" s="251"/>
      <c r="J67" s="251"/>
      <c r="K67" s="251"/>
      <c r="L67" s="251"/>
      <c r="M67" s="251"/>
      <c r="N67" s="251"/>
      <c r="O67" s="251"/>
      <c r="P67" s="251"/>
      <c r="Q67" s="251"/>
      <c r="R67" s="251"/>
      <c r="S67" s="251"/>
      <c r="T67" s="251"/>
      <c r="U67" s="251"/>
      <c r="V67" s="251"/>
      <c r="W67" s="251"/>
      <c r="X67" s="251"/>
    </row>
    <row r="68" spans="1:24" s="21" customFormat="1" x14ac:dyDescent="0.2">
      <c r="A68" s="250" t="s">
        <v>201</v>
      </c>
      <c r="B68" s="250"/>
      <c r="C68" s="251"/>
      <c r="D68" s="251"/>
      <c r="E68" s="251"/>
      <c r="F68" s="251"/>
      <c r="G68" s="251"/>
      <c r="H68" s="251"/>
      <c r="I68" s="251"/>
      <c r="J68" s="251"/>
      <c r="K68" s="251"/>
      <c r="L68" s="251"/>
      <c r="M68" s="251"/>
      <c r="N68" s="251"/>
      <c r="O68" s="251"/>
      <c r="P68" s="251"/>
      <c r="Q68" s="251"/>
      <c r="R68" s="251"/>
      <c r="S68" s="251"/>
      <c r="T68" s="251"/>
      <c r="U68" s="251"/>
      <c r="V68" s="251"/>
      <c r="W68" s="251"/>
      <c r="X68" s="251"/>
    </row>
    <row r="69" spans="1:24" s="21" customFormat="1" ht="12.75" customHeight="1" x14ac:dyDescent="0.2">
      <c r="A69" s="250" t="s">
        <v>202</v>
      </c>
      <c r="B69" s="250"/>
      <c r="C69" s="251"/>
      <c r="D69" s="251"/>
      <c r="E69" s="251"/>
      <c r="F69" s="251"/>
      <c r="G69" s="251"/>
      <c r="H69" s="251"/>
      <c r="I69" s="251"/>
      <c r="J69" s="251"/>
      <c r="K69" s="251"/>
      <c r="L69" s="251"/>
      <c r="M69" s="251"/>
      <c r="N69" s="251"/>
      <c r="O69" s="251"/>
      <c r="P69" s="251"/>
      <c r="Q69" s="251"/>
      <c r="R69" s="251"/>
      <c r="S69" s="251"/>
      <c r="T69" s="251"/>
      <c r="U69" s="251"/>
      <c r="V69" s="251"/>
      <c r="W69" s="251"/>
      <c r="X69" s="251"/>
    </row>
    <row r="70" spans="1:24" s="21" customFormat="1" ht="12.75" customHeight="1" x14ac:dyDescent="0.2">
      <c r="A70" s="250" t="s">
        <v>203</v>
      </c>
      <c r="B70" s="250"/>
      <c r="C70" s="251"/>
      <c r="D70" s="251"/>
      <c r="E70" s="251"/>
      <c r="F70" s="251"/>
      <c r="G70" s="251"/>
      <c r="H70" s="251"/>
      <c r="I70" s="251"/>
      <c r="J70" s="251"/>
      <c r="K70" s="251"/>
      <c r="L70" s="251"/>
      <c r="M70" s="251"/>
      <c r="N70" s="251"/>
      <c r="O70" s="251"/>
      <c r="P70" s="251"/>
      <c r="Q70" s="251"/>
      <c r="R70" s="251"/>
      <c r="S70" s="251"/>
      <c r="T70" s="251"/>
      <c r="U70" s="251"/>
      <c r="V70" s="251"/>
      <c r="W70" s="251"/>
      <c r="X70" s="251"/>
    </row>
    <row r="71" spans="1:24" s="21" customFormat="1" ht="12.75" customHeight="1" x14ac:dyDescent="0.2">
      <c r="A71" s="250" t="s">
        <v>204</v>
      </c>
      <c r="B71" s="250"/>
      <c r="C71" s="251"/>
      <c r="D71" s="251"/>
      <c r="E71" s="251"/>
      <c r="F71" s="251"/>
      <c r="G71" s="251"/>
      <c r="H71" s="251"/>
      <c r="I71" s="251"/>
      <c r="J71" s="251"/>
      <c r="K71" s="251"/>
      <c r="L71" s="251"/>
      <c r="M71" s="251"/>
      <c r="N71" s="251"/>
      <c r="O71" s="251"/>
      <c r="P71" s="251"/>
      <c r="Q71" s="251"/>
      <c r="R71" s="251"/>
      <c r="S71" s="251"/>
      <c r="T71" s="251"/>
      <c r="U71" s="251"/>
      <c r="V71" s="251"/>
      <c r="W71" s="251"/>
      <c r="X71" s="251"/>
    </row>
    <row r="72" spans="1:24" s="21" customFormat="1" ht="12.75" customHeight="1" x14ac:dyDescent="0.2">
      <c r="A72" s="250" t="s">
        <v>205</v>
      </c>
      <c r="B72" s="250"/>
      <c r="C72" s="251"/>
      <c r="D72" s="251"/>
      <c r="E72" s="251"/>
      <c r="F72" s="251"/>
      <c r="G72" s="251"/>
      <c r="H72" s="251"/>
      <c r="I72" s="251"/>
      <c r="J72" s="251"/>
      <c r="K72" s="251"/>
      <c r="L72" s="251"/>
      <c r="M72" s="251"/>
      <c r="N72" s="251"/>
      <c r="O72" s="251"/>
      <c r="P72" s="251"/>
      <c r="Q72" s="251"/>
      <c r="R72" s="251"/>
      <c r="S72" s="251"/>
      <c r="T72" s="251"/>
      <c r="U72" s="251"/>
      <c r="V72" s="251"/>
      <c r="W72" s="251"/>
      <c r="X72" s="251"/>
    </row>
    <row r="73" spans="1:24" s="21" customFormat="1" x14ac:dyDescent="0.2">
      <c r="A73" s="22"/>
      <c r="B73" s="22"/>
      <c r="F73" s="33"/>
      <c r="G73" s="34"/>
      <c r="H73" s="35"/>
    </row>
    <row r="74" spans="1:24" s="21" customFormat="1" ht="12.75" customHeight="1" x14ac:dyDescent="0.2">
      <c r="A74" s="254" t="s">
        <v>206</v>
      </c>
      <c r="B74" s="254"/>
      <c r="C74" s="255"/>
      <c r="D74" s="255"/>
      <c r="E74" s="255"/>
      <c r="F74" s="255"/>
      <c r="G74" s="255"/>
      <c r="H74" s="255"/>
      <c r="I74" s="255"/>
      <c r="J74" s="255"/>
      <c r="K74" s="255"/>
      <c r="L74" s="255"/>
      <c r="M74" s="255"/>
      <c r="N74" s="255"/>
      <c r="O74" s="255"/>
      <c r="P74" s="255"/>
      <c r="Q74" s="255"/>
      <c r="R74" s="255"/>
      <c r="S74" s="255"/>
      <c r="T74" s="255"/>
      <c r="U74" s="255"/>
      <c r="V74" s="255"/>
      <c r="W74" s="255"/>
      <c r="X74" s="255"/>
    </row>
    <row r="75" spans="1:24" s="21" customFormat="1" x14ac:dyDescent="0.2">
      <c r="A75" s="50"/>
      <c r="B75" s="50"/>
      <c r="C75" s="51"/>
      <c r="D75" s="51"/>
      <c r="E75" s="51"/>
      <c r="F75" s="51"/>
      <c r="G75" s="51"/>
      <c r="H75" s="51"/>
      <c r="I75" s="51"/>
      <c r="J75" s="51"/>
      <c r="K75" s="51"/>
      <c r="L75" s="51"/>
      <c r="M75" s="51"/>
      <c r="N75" s="51"/>
      <c r="O75" s="51"/>
      <c r="P75" s="51"/>
      <c r="Q75" s="51"/>
      <c r="R75" s="51"/>
      <c r="S75" s="51"/>
      <c r="T75" s="51"/>
      <c r="U75" s="51"/>
      <c r="V75" s="51"/>
      <c r="W75" s="51"/>
      <c r="X75" s="51"/>
    </row>
    <row r="76" spans="1:24" s="21" customFormat="1" ht="12.75" customHeight="1" x14ac:dyDescent="0.2">
      <c r="A76" s="250" t="s">
        <v>207</v>
      </c>
      <c r="B76" s="250"/>
      <c r="C76" s="251"/>
      <c r="D76" s="251"/>
      <c r="E76" s="251"/>
      <c r="F76" s="251"/>
      <c r="G76" s="251"/>
      <c r="H76" s="251"/>
      <c r="I76" s="251"/>
      <c r="J76" s="251"/>
      <c r="K76" s="251"/>
      <c r="L76" s="251"/>
      <c r="M76" s="251"/>
      <c r="N76" s="251"/>
      <c r="O76" s="251"/>
      <c r="P76" s="251"/>
      <c r="Q76" s="251"/>
      <c r="R76" s="251"/>
      <c r="S76" s="251"/>
      <c r="T76" s="251"/>
      <c r="U76" s="251"/>
      <c r="V76" s="251"/>
      <c r="W76" s="251"/>
      <c r="X76" s="251"/>
    </row>
    <row r="77" spans="1:24" s="21" customFormat="1" ht="26.1" customHeight="1" x14ac:dyDescent="0.2">
      <c r="A77" s="246" t="s">
        <v>208</v>
      </c>
      <c r="B77" s="246"/>
      <c r="C77" s="247"/>
      <c r="D77" s="247"/>
      <c r="E77" s="247"/>
      <c r="F77" s="247"/>
      <c r="G77" s="247"/>
      <c r="H77" s="247"/>
      <c r="I77" s="247"/>
      <c r="J77" s="247"/>
      <c r="K77" s="247"/>
      <c r="L77" s="247"/>
      <c r="M77" s="247"/>
      <c r="N77" s="247"/>
      <c r="O77" s="247"/>
      <c r="P77" s="247"/>
      <c r="Q77" s="247"/>
      <c r="R77" s="247"/>
      <c r="S77" s="247"/>
      <c r="T77" s="247"/>
      <c r="U77" s="247"/>
      <c r="V77" s="247"/>
      <c r="W77" s="247"/>
      <c r="X77" s="247"/>
    </row>
    <row r="78" spans="1:24" s="21" customFormat="1" ht="12.75" customHeight="1" x14ac:dyDescent="0.2">
      <c r="A78" s="250" t="s">
        <v>209</v>
      </c>
      <c r="B78" s="250"/>
      <c r="C78" s="251"/>
      <c r="D78" s="251"/>
      <c r="E78" s="251"/>
      <c r="F78" s="251"/>
      <c r="G78" s="251"/>
      <c r="H78" s="251"/>
      <c r="I78" s="251"/>
      <c r="J78" s="251"/>
      <c r="K78" s="251"/>
      <c r="L78" s="251"/>
      <c r="M78" s="251"/>
      <c r="N78" s="251"/>
      <c r="O78" s="251"/>
      <c r="P78" s="251"/>
      <c r="Q78" s="251"/>
      <c r="R78" s="251"/>
      <c r="S78" s="251"/>
      <c r="T78" s="251"/>
      <c r="U78" s="251"/>
      <c r="V78" s="251"/>
      <c r="W78" s="251"/>
      <c r="X78" s="251"/>
    </row>
    <row r="79" spans="1:24" s="21" customFormat="1" ht="25.5" customHeight="1" x14ac:dyDescent="0.2">
      <c r="A79" s="250" t="s">
        <v>210</v>
      </c>
      <c r="B79" s="250"/>
      <c r="C79" s="251"/>
      <c r="D79" s="251"/>
      <c r="E79" s="251"/>
      <c r="F79" s="251"/>
      <c r="G79" s="251"/>
      <c r="H79" s="251"/>
      <c r="I79" s="251"/>
      <c r="J79" s="251"/>
      <c r="K79" s="251"/>
      <c r="L79" s="251"/>
      <c r="M79" s="251"/>
      <c r="N79" s="251"/>
      <c r="O79" s="251"/>
      <c r="P79" s="251"/>
      <c r="Q79" s="251"/>
      <c r="R79" s="251"/>
      <c r="S79" s="251"/>
      <c r="T79" s="251"/>
      <c r="U79" s="251"/>
      <c r="V79" s="251"/>
      <c r="W79" s="251"/>
      <c r="X79" s="251"/>
    </row>
    <row r="80" spans="1:24" s="21" customFormat="1" x14ac:dyDescent="0.2">
      <c r="A80" s="246" t="s">
        <v>211</v>
      </c>
      <c r="B80" s="246"/>
      <c r="C80" s="247"/>
      <c r="D80" s="247"/>
      <c r="E80" s="247"/>
      <c r="F80" s="247"/>
      <c r="G80" s="247"/>
      <c r="H80" s="247"/>
      <c r="I80" s="247"/>
      <c r="J80" s="247"/>
      <c r="K80" s="247"/>
      <c r="L80" s="247"/>
      <c r="M80" s="247"/>
      <c r="N80" s="247"/>
      <c r="O80" s="247"/>
      <c r="P80" s="247"/>
      <c r="Q80" s="247"/>
      <c r="R80" s="247"/>
      <c r="S80" s="247"/>
      <c r="T80" s="247"/>
      <c r="U80" s="247"/>
      <c r="V80" s="247"/>
      <c r="W80" s="247"/>
      <c r="X80" s="247"/>
    </row>
    <row r="81" spans="1:24" ht="12.75" customHeight="1" x14ac:dyDescent="0.2">
      <c r="A81" s="250" t="s">
        <v>212</v>
      </c>
      <c r="B81" s="250"/>
      <c r="C81" s="251"/>
      <c r="D81" s="251"/>
      <c r="E81" s="251"/>
      <c r="F81" s="251"/>
      <c r="G81" s="251"/>
      <c r="H81" s="251"/>
      <c r="I81" s="251"/>
      <c r="J81" s="251"/>
      <c r="K81" s="251"/>
      <c r="L81" s="251"/>
      <c r="M81" s="251"/>
      <c r="N81" s="251"/>
      <c r="O81" s="251"/>
      <c r="P81" s="251"/>
      <c r="Q81" s="251"/>
      <c r="R81" s="251"/>
      <c r="S81" s="251"/>
      <c r="T81" s="251"/>
      <c r="U81" s="251"/>
      <c r="V81" s="251"/>
      <c r="W81" s="251"/>
      <c r="X81" s="251"/>
    </row>
    <row r="82" spans="1:24" ht="26.1" customHeight="1" x14ac:dyDescent="0.2">
      <c r="A82" s="250" t="s">
        <v>213</v>
      </c>
      <c r="B82" s="250"/>
      <c r="C82" s="251"/>
      <c r="D82" s="251"/>
      <c r="E82" s="251"/>
      <c r="F82" s="251"/>
      <c r="G82" s="251"/>
      <c r="H82" s="251"/>
      <c r="I82" s="251"/>
      <c r="J82" s="251"/>
      <c r="K82" s="251"/>
      <c r="L82" s="251"/>
      <c r="M82" s="251"/>
      <c r="N82" s="251"/>
      <c r="O82" s="251"/>
      <c r="P82" s="251"/>
      <c r="Q82" s="251"/>
      <c r="R82" s="251"/>
      <c r="S82" s="251"/>
      <c r="T82" s="251"/>
      <c r="U82" s="251"/>
      <c r="V82" s="251"/>
      <c r="W82" s="251"/>
      <c r="X82" s="251"/>
    </row>
    <row r="83" spans="1:24" s="21" customFormat="1" ht="26.1" customHeight="1" x14ac:dyDescent="0.2">
      <c r="A83" s="250" t="s">
        <v>214</v>
      </c>
      <c r="B83" s="250"/>
      <c r="C83" s="251"/>
      <c r="D83" s="251"/>
      <c r="E83" s="251"/>
      <c r="F83" s="251"/>
      <c r="G83" s="251"/>
      <c r="H83" s="251"/>
      <c r="I83" s="251"/>
      <c r="J83" s="251"/>
      <c r="K83" s="251"/>
      <c r="L83" s="251"/>
      <c r="M83" s="251"/>
      <c r="N83" s="251"/>
      <c r="O83" s="251"/>
      <c r="P83" s="251"/>
      <c r="Q83" s="251"/>
      <c r="R83" s="251"/>
      <c r="S83" s="251"/>
      <c r="T83" s="251"/>
      <c r="U83" s="251"/>
      <c r="V83" s="251"/>
      <c r="W83" s="251"/>
      <c r="X83" s="251"/>
    </row>
    <row r="84" spans="1:24" s="21" customFormat="1" ht="12.75" customHeight="1" x14ac:dyDescent="0.2">
      <c r="A84" s="250" t="s">
        <v>215</v>
      </c>
      <c r="B84" s="250"/>
      <c r="C84" s="251"/>
      <c r="D84" s="251"/>
      <c r="E84" s="251"/>
      <c r="F84" s="251"/>
      <c r="G84" s="251"/>
      <c r="H84" s="251"/>
      <c r="I84" s="251"/>
      <c r="J84" s="251"/>
      <c r="K84" s="251"/>
      <c r="L84" s="251"/>
      <c r="M84" s="251"/>
      <c r="N84" s="251"/>
      <c r="O84" s="251"/>
      <c r="P84" s="251"/>
      <c r="Q84" s="251"/>
      <c r="R84" s="251"/>
      <c r="S84" s="251"/>
      <c r="T84" s="251"/>
      <c r="U84" s="251"/>
      <c r="V84" s="251"/>
      <c r="W84" s="251"/>
      <c r="X84" s="251"/>
    </row>
    <row r="85" spans="1:24" s="21" customFormat="1" x14ac:dyDescent="0.2">
      <c r="A85" s="250" t="s">
        <v>216</v>
      </c>
      <c r="B85" s="250"/>
      <c r="C85" s="251"/>
      <c r="D85" s="251"/>
      <c r="E85" s="251"/>
      <c r="F85" s="251"/>
      <c r="G85" s="251"/>
      <c r="H85" s="251"/>
      <c r="I85" s="251"/>
      <c r="J85" s="251"/>
      <c r="K85" s="251"/>
      <c r="L85" s="251"/>
      <c r="M85" s="251"/>
      <c r="N85" s="251"/>
      <c r="O85" s="251"/>
      <c r="P85" s="251"/>
      <c r="Q85" s="251"/>
      <c r="R85" s="251"/>
      <c r="S85" s="251"/>
      <c r="T85" s="251"/>
      <c r="U85" s="251"/>
      <c r="V85" s="251"/>
      <c r="W85" s="251"/>
      <c r="X85" s="251"/>
    </row>
    <row r="86" spans="1:24" ht="12.75" customHeight="1" x14ac:dyDescent="0.2">
      <c r="A86" s="246" t="s">
        <v>217</v>
      </c>
      <c r="B86" s="246"/>
      <c r="C86" s="247"/>
      <c r="D86" s="247"/>
      <c r="E86" s="247"/>
      <c r="F86" s="247"/>
      <c r="G86" s="247"/>
      <c r="H86" s="247"/>
      <c r="I86" s="247"/>
      <c r="J86" s="247"/>
      <c r="K86" s="247"/>
      <c r="L86" s="247"/>
      <c r="M86" s="247"/>
      <c r="N86" s="247"/>
      <c r="O86" s="247"/>
      <c r="P86" s="247"/>
      <c r="Q86" s="247"/>
      <c r="R86" s="247"/>
      <c r="S86" s="247"/>
      <c r="T86" s="247"/>
      <c r="U86" s="247"/>
      <c r="V86" s="247"/>
      <c r="W86" s="247"/>
      <c r="X86" s="247"/>
    </row>
    <row r="87" spans="1:24" x14ac:dyDescent="0.2">
      <c r="A87" s="250" t="s">
        <v>218</v>
      </c>
      <c r="B87" s="250"/>
      <c r="C87" s="251"/>
      <c r="D87" s="251"/>
      <c r="E87" s="251"/>
      <c r="F87" s="251"/>
      <c r="G87" s="251"/>
      <c r="H87" s="251"/>
      <c r="I87" s="251"/>
      <c r="J87" s="251"/>
      <c r="K87" s="251"/>
      <c r="L87" s="251"/>
      <c r="M87" s="251"/>
      <c r="N87" s="251"/>
      <c r="O87" s="251"/>
      <c r="P87" s="251"/>
      <c r="Q87" s="251"/>
      <c r="R87" s="251"/>
      <c r="S87" s="251"/>
      <c r="T87" s="251"/>
      <c r="U87" s="251"/>
      <c r="V87" s="251"/>
      <c r="W87" s="251"/>
      <c r="X87" s="251"/>
    </row>
    <row r="88" spans="1:24" x14ac:dyDescent="0.2">
      <c r="A88" s="250" t="s">
        <v>219</v>
      </c>
      <c r="B88" s="250"/>
      <c r="C88" s="251"/>
      <c r="D88" s="251"/>
      <c r="E88" s="251"/>
      <c r="F88" s="251"/>
      <c r="G88" s="251"/>
      <c r="H88" s="251"/>
      <c r="I88" s="251"/>
      <c r="J88" s="251"/>
      <c r="K88" s="251"/>
      <c r="L88" s="251"/>
      <c r="M88" s="251"/>
      <c r="N88" s="251"/>
      <c r="O88" s="251"/>
      <c r="P88" s="251"/>
      <c r="Q88" s="251"/>
      <c r="R88" s="251"/>
      <c r="S88" s="251"/>
      <c r="T88" s="251"/>
      <c r="U88" s="251"/>
      <c r="V88" s="251"/>
      <c r="W88" s="251"/>
      <c r="X88" s="251"/>
    </row>
    <row r="90" spans="1:24" x14ac:dyDescent="0.2">
      <c r="A90" s="254" t="s">
        <v>220</v>
      </c>
      <c r="B90" s="254"/>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x14ac:dyDescent="0.2">
      <c r="A91" s="50"/>
      <c r="B91" s="50"/>
      <c r="C91" s="51"/>
      <c r="D91" s="51"/>
      <c r="E91" s="51"/>
      <c r="F91" s="51"/>
      <c r="G91" s="51"/>
      <c r="H91" s="51"/>
      <c r="I91" s="51"/>
      <c r="J91" s="51"/>
      <c r="K91" s="51"/>
      <c r="L91" s="51"/>
      <c r="M91" s="51"/>
      <c r="N91" s="51"/>
      <c r="O91" s="51"/>
      <c r="P91" s="51"/>
      <c r="Q91" s="51"/>
      <c r="R91" s="51"/>
      <c r="S91" s="51"/>
      <c r="T91" s="51"/>
      <c r="U91" s="51"/>
      <c r="V91" s="51"/>
      <c r="W91" s="51"/>
      <c r="X91" s="51"/>
    </row>
    <row r="92" spans="1:24" x14ac:dyDescent="0.2">
      <c r="A92" s="250" t="s">
        <v>221</v>
      </c>
      <c r="B92" s="250"/>
      <c r="C92" s="251"/>
      <c r="D92" s="251"/>
      <c r="E92" s="251"/>
      <c r="F92" s="251"/>
      <c r="G92" s="251"/>
      <c r="H92" s="251"/>
      <c r="I92" s="251"/>
      <c r="J92" s="251"/>
      <c r="K92" s="251"/>
      <c r="L92" s="251"/>
      <c r="M92" s="251"/>
      <c r="N92" s="251"/>
      <c r="O92" s="251"/>
      <c r="P92" s="251"/>
      <c r="Q92" s="251"/>
      <c r="R92" s="251"/>
      <c r="S92" s="251"/>
      <c r="T92" s="251"/>
      <c r="U92" s="251"/>
      <c r="V92" s="251"/>
      <c r="W92" s="251"/>
      <c r="X92" s="251"/>
    </row>
    <row r="93" spans="1:24" ht="12.75" customHeight="1" x14ac:dyDescent="0.2">
      <c r="A93" s="246" t="s">
        <v>222</v>
      </c>
      <c r="B93" s="246"/>
      <c r="C93" s="247"/>
      <c r="D93" s="247"/>
      <c r="E93" s="247"/>
      <c r="F93" s="247"/>
      <c r="G93" s="247"/>
      <c r="H93" s="247"/>
      <c r="I93" s="247"/>
      <c r="J93" s="247"/>
      <c r="K93" s="247"/>
      <c r="L93" s="247"/>
      <c r="M93" s="247"/>
      <c r="N93" s="247"/>
      <c r="O93" s="247"/>
      <c r="P93" s="247"/>
      <c r="Q93" s="247"/>
      <c r="R93" s="247"/>
      <c r="S93" s="247"/>
      <c r="T93" s="247"/>
      <c r="U93" s="247"/>
      <c r="V93" s="247"/>
      <c r="W93" s="247"/>
      <c r="X93" s="247"/>
    </row>
    <row r="94" spans="1:24" ht="12.75" customHeight="1" x14ac:dyDescent="0.2">
      <c r="A94" s="250" t="s">
        <v>223</v>
      </c>
      <c r="B94" s="250"/>
      <c r="C94" s="251"/>
      <c r="D94" s="251"/>
      <c r="E94" s="251"/>
      <c r="F94" s="251"/>
      <c r="G94" s="251"/>
      <c r="H94" s="251"/>
      <c r="I94" s="251"/>
      <c r="J94" s="251"/>
      <c r="K94" s="251"/>
      <c r="L94" s="251"/>
      <c r="M94" s="251"/>
      <c r="N94" s="251"/>
      <c r="O94" s="251"/>
      <c r="P94" s="251"/>
      <c r="Q94" s="251"/>
      <c r="R94" s="251"/>
      <c r="S94" s="251"/>
      <c r="T94" s="251"/>
      <c r="U94" s="251"/>
      <c r="V94" s="251"/>
      <c r="W94" s="251"/>
      <c r="X94" s="251"/>
    </row>
    <row r="95" spans="1:24" x14ac:dyDescent="0.2">
      <c r="A95" s="250" t="s">
        <v>224</v>
      </c>
      <c r="B95" s="250"/>
      <c r="C95" s="251"/>
      <c r="D95" s="251"/>
      <c r="E95" s="251"/>
      <c r="F95" s="251"/>
      <c r="G95" s="251"/>
      <c r="H95" s="251"/>
      <c r="I95" s="251"/>
      <c r="J95" s="251"/>
      <c r="K95" s="251"/>
      <c r="L95" s="251"/>
      <c r="M95" s="251"/>
      <c r="N95" s="251"/>
      <c r="O95" s="251"/>
      <c r="P95" s="251"/>
      <c r="Q95" s="251"/>
      <c r="R95" s="251"/>
      <c r="S95" s="251"/>
      <c r="T95" s="251"/>
      <c r="U95" s="251"/>
      <c r="V95" s="251"/>
      <c r="W95" s="251"/>
      <c r="X95" s="251"/>
    </row>
    <row r="96" spans="1:24" ht="12.75" customHeight="1" x14ac:dyDescent="0.2">
      <c r="A96" s="246"/>
      <c r="B96" s="246"/>
      <c r="C96" s="247"/>
      <c r="D96" s="247"/>
      <c r="E96" s="247"/>
      <c r="F96" s="247"/>
      <c r="G96" s="247"/>
      <c r="H96" s="247"/>
      <c r="I96" s="247"/>
      <c r="J96" s="247"/>
      <c r="K96" s="247"/>
      <c r="L96" s="247"/>
      <c r="M96" s="247"/>
      <c r="N96" s="247"/>
      <c r="O96" s="247"/>
      <c r="P96" s="247"/>
      <c r="Q96" s="247"/>
      <c r="R96" s="247"/>
      <c r="S96" s="247"/>
      <c r="T96" s="247"/>
      <c r="U96" s="247"/>
      <c r="V96" s="247"/>
      <c r="W96" s="247"/>
      <c r="X96" s="247"/>
    </row>
    <row r="97" spans="1:24" x14ac:dyDescent="0.2">
      <c r="A97" s="254" t="s">
        <v>225</v>
      </c>
      <c r="B97" s="254"/>
      <c r="C97" s="255"/>
      <c r="D97" s="255"/>
      <c r="E97" s="255"/>
      <c r="F97" s="255"/>
      <c r="G97" s="255"/>
      <c r="H97" s="255"/>
      <c r="I97" s="255"/>
      <c r="J97" s="255"/>
      <c r="K97" s="255"/>
      <c r="L97" s="255"/>
      <c r="M97" s="255"/>
      <c r="N97" s="255"/>
      <c r="O97" s="255"/>
      <c r="P97" s="255"/>
      <c r="Q97" s="255"/>
      <c r="R97" s="255"/>
      <c r="S97" s="255"/>
      <c r="T97" s="255"/>
      <c r="U97" s="255"/>
      <c r="V97" s="255"/>
      <c r="W97" s="255"/>
      <c r="X97" s="255"/>
    </row>
    <row r="98" spans="1:24" ht="12.75" customHeight="1" x14ac:dyDescent="0.2">
      <c r="A98" s="246"/>
      <c r="B98" s="246"/>
      <c r="C98" s="247"/>
      <c r="D98" s="247"/>
      <c r="E98" s="247"/>
      <c r="F98" s="247"/>
      <c r="G98" s="247"/>
      <c r="H98" s="247"/>
      <c r="I98" s="247"/>
      <c r="J98" s="247"/>
      <c r="K98" s="247"/>
      <c r="L98" s="247"/>
      <c r="M98" s="247"/>
      <c r="N98" s="247"/>
      <c r="O98" s="247"/>
      <c r="P98" s="247"/>
      <c r="Q98" s="247"/>
      <c r="R98" s="247"/>
      <c r="S98" s="247"/>
      <c r="T98" s="247"/>
      <c r="U98" s="247"/>
      <c r="V98" s="247"/>
      <c r="W98" s="247"/>
      <c r="X98" s="247"/>
    </row>
    <row r="99" spans="1:24" ht="12.75" customHeight="1" x14ac:dyDescent="0.2">
      <c r="A99" s="250" t="s">
        <v>226</v>
      </c>
      <c r="B99" s="250"/>
      <c r="C99" s="251"/>
      <c r="D99" s="251"/>
      <c r="E99" s="251"/>
      <c r="F99" s="251"/>
      <c r="G99" s="251"/>
      <c r="H99" s="251"/>
      <c r="I99" s="251"/>
      <c r="J99" s="251"/>
      <c r="K99" s="251"/>
      <c r="L99" s="251"/>
      <c r="M99" s="251"/>
      <c r="N99" s="251"/>
      <c r="O99" s="251"/>
      <c r="P99" s="251"/>
      <c r="Q99" s="251"/>
      <c r="R99" s="251"/>
      <c r="S99" s="251"/>
      <c r="T99" s="251"/>
      <c r="U99" s="251"/>
      <c r="V99" s="251"/>
      <c r="W99" s="251"/>
      <c r="X99" s="251"/>
    </row>
    <row r="100" spans="1:24" ht="12.75" customHeight="1" x14ac:dyDescent="0.2">
      <c r="A100" s="250" t="s">
        <v>227</v>
      </c>
      <c r="B100" s="250"/>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row>
    <row r="101" spans="1:24" x14ac:dyDescent="0.2">
      <c r="A101" s="250" t="s">
        <v>228</v>
      </c>
      <c r="B101" s="250"/>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row>
    <row r="102" spans="1:24" ht="12.75" customHeight="1" x14ac:dyDescent="0.2">
      <c r="A102" s="26"/>
      <c r="B102" s="26"/>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ht="12.75" customHeight="1" x14ac:dyDescent="0.2">
      <c r="A103" s="26"/>
      <c r="B103" s="26"/>
      <c r="C103" s="32"/>
      <c r="D103" s="32"/>
      <c r="E103" s="32"/>
      <c r="F103" s="32"/>
      <c r="G103" s="32"/>
      <c r="H103" s="32"/>
      <c r="I103" s="32"/>
      <c r="J103" s="32"/>
      <c r="K103" s="32"/>
      <c r="L103" s="32"/>
      <c r="M103" s="32"/>
      <c r="N103" s="32"/>
      <c r="O103" s="32"/>
      <c r="P103" s="32"/>
      <c r="Q103" s="32"/>
      <c r="R103" s="32"/>
      <c r="S103" s="32"/>
      <c r="T103" s="32"/>
      <c r="U103" s="32"/>
      <c r="V103" s="32"/>
      <c r="W103" s="32"/>
      <c r="X103" s="32"/>
    </row>
    <row r="104" spans="1:24" ht="12.75" customHeight="1" x14ac:dyDescent="0.2">
      <c r="A104" s="26"/>
      <c r="B104" s="26"/>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ht="12.75" customHeight="1" x14ac:dyDescent="0.2">
      <c r="A105" s="26"/>
      <c r="B105" s="26"/>
      <c r="C105" s="32"/>
      <c r="D105" s="32"/>
      <c r="E105" s="32"/>
      <c r="F105" s="32"/>
      <c r="G105" s="32"/>
      <c r="H105" s="32"/>
      <c r="I105" s="32"/>
      <c r="J105" s="32"/>
      <c r="K105" s="32"/>
      <c r="L105" s="32"/>
      <c r="M105" s="32"/>
      <c r="N105" s="32"/>
      <c r="O105" s="32"/>
      <c r="P105" s="32"/>
      <c r="Q105" s="32"/>
      <c r="R105" s="32"/>
      <c r="S105" s="32"/>
      <c r="T105" s="32"/>
      <c r="U105" s="32"/>
      <c r="V105" s="32"/>
      <c r="W105" s="32"/>
      <c r="X105" s="32"/>
    </row>
    <row r="106" spans="1:24" ht="12.75" customHeight="1" x14ac:dyDescent="0.2"/>
    <row r="107" spans="1:24" x14ac:dyDescent="0.2">
      <c r="A107"/>
      <c r="E107"/>
      <c r="F107"/>
      <c r="H107" s="38"/>
      <c r="L107" s="82" t="s">
        <v>132</v>
      </c>
      <c r="O107" s="82"/>
      <c r="P107" s="38"/>
      <c r="Q107" s="82"/>
    </row>
    <row r="108" spans="1:24" ht="12.75" customHeight="1" x14ac:dyDescent="0.2">
      <c r="A108"/>
      <c r="E108"/>
      <c r="F108"/>
      <c r="G108" s="31"/>
      <c r="H108" s="31"/>
      <c r="L108" s="82" t="s">
        <v>133</v>
      </c>
      <c r="P108" s="31"/>
      <c r="S108" s="208">
        <f ca="1">T38</f>
        <v>0.24179999999999999</v>
      </c>
    </row>
    <row r="109" spans="1:24" x14ac:dyDescent="0.2">
      <c r="A109"/>
      <c r="E109"/>
      <c r="F109"/>
      <c r="G109" s="31"/>
      <c r="H109" s="31"/>
      <c r="L109" s="82" t="s">
        <v>134</v>
      </c>
      <c r="P109" s="31"/>
      <c r="S109" s="208" t="str">
        <f ca="1">U38</f>
        <v/>
      </c>
    </row>
    <row r="110" spans="1:24" ht="12.75" customHeight="1" x14ac:dyDescent="0.2">
      <c r="A110"/>
      <c r="E110"/>
      <c r="F110"/>
      <c r="G110" s="31"/>
      <c r="H110" s="31"/>
      <c r="L110" s="82" t="s">
        <v>135</v>
      </c>
      <c r="P110" s="31"/>
      <c r="S110" s="208" t="str">
        <f ca="1">V38</f>
        <v/>
      </c>
    </row>
    <row r="111" spans="1:24" x14ac:dyDescent="0.2">
      <c r="A111"/>
      <c r="E111"/>
      <c r="F111"/>
      <c r="G111" s="31"/>
      <c r="H111" s="31"/>
      <c r="L111" s="82" t="s">
        <v>136</v>
      </c>
      <c r="P111" s="31"/>
      <c r="S111" s="208" t="str">
        <f ca="1">W38</f>
        <v/>
      </c>
    </row>
    <row r="112" spans="1:24" ht="12.75" customHeight="1" x14ac:dyDescent="0.2">
      <c r="A112"/>
      <c r="E112"/>
      <c r="F112"/>
      <c r="G112" s="31"/>
      <c r="H112" s="31"/>
      <c r="L112" s="82" t="s">
        <v>137</v>
      </c>
      <c r="P112" s="31"/>
      <c r="S112" s="208" t="str">
        <f ca="1">X38</f>
        <v/>
      </c>
    </row>
    <row r="113" spans="1:16" x14ac:dyDescent="0.2">
      <c r="A113"/>
      <c r="H113" s="38"/>
      <c r="L113" s="82" t="s">
        <v>66</v>
      </c>
    </row>
    <row r="114" spans="1:16" ht="12.75" customHeight="1" x14ac:dyDescent="0.2">
      <c r="A114"/>
      <c r="H114" s="38"/>
      <c r="L114" s="82" t="s">
        <v>67</v>
      </c>
    </row>
    <row r="115" spans="1:16" x14ac:dyDescent="0.2">
      <c r="A115"/>
      <c r="H115" s="38"/>
      <c r="L115" s="82" t="s">
        <v>68</v>
      </c>
      <c r="P115" s="1" t="s">
        <v>113</v>
      </c>
    </row>
    <row r="116" spans="1:16" x14ac:dyDescent="0.2">
      <c r="A116"/>
      <c r="H116" s="38"/>
      <c r="L116" s="82" t="s">
        <v>69</v>
      </c>
      <c r="P116" s="1" t="s">
        <v>114</v>
      </c>
    </row>
    <row r="117" spans="1:16" x14ac:dyDescent="0.2">
      <c r="A117"/>
      <c r="L117" s="82" t="s">
        <v>70</v>
      </c>
      <c r="P117" s="1" t="s">
        <v>115</v>
      </c>
    </row>
    <row r="118" spans="1:16" x14ac:dyDescent="0.2">
      <c r="A118"/>
      <c r="L118" s="82" t="s">
        <v>71</v>
      </c>
      <c r="P118" s="1" t="s">
        <v>94</v>
      </c>
    </row>
    <row r="119" spans="1:16" x14ac:dyDescent="0.2">
      <c r="A119"/>
      <c r="L119" s="82" t="s">
        <v>72</v>
      </c>
      <c r="P119" s="1" t="s">
        <v>95</v>
      </c>
    </row>
    <row r="120" spans="1:16" x14ac:dyDescent="0.2">
      <c r="A120"/>
      <c r="L120" s="82" t="s">
        <v>73</v>
      </c>
      <c r="P120" s="1" t="s">
        <v>96</v>
      </c>
    </row>
    <row r="121" spans="1:16" x14ac:dyDescent="0.2">
      <c r="A121"/>
      <c r="L121" s="82" t="s">
        <v>74</v>
      </c>
    </row>
    <row r="122" spans="1:16" x14ac:dyDescent="0.2">
      <c r="A122"/>
      <c r="L122" s="82" t="s">
        <v>75</v>
      </c>
      <c r="P122" s="94" t="s">
        <v>97</v>
      </c>
    </row>
    <row r="123" spans="1:16" x14ac:dyDescent="0.2">
      <c r="A123"/>
      <c r="L123" s="82" t="s">
        <v>76</v>
      </c>
      <c r="P123" s="94" t="s">
        <v>98</v>
      </c>
    </row>
    <row r="124" spans="1:16" x14ac:dyDescent="0.2">
      <c r="A124"/>
      <c r="L124" s="82" t="s">
        <v>77</v>
      </c>
    </row>
    <row r="125" spans="1:16" x14ac:dyDescent="0.2">
      <c r="A125"/>
      <c r="L125" s="82" t="s">
        <v>78</v>
      </c>
    </row>
    <row r="126" spans="1:16" x14ac:dyDescent="0.2">
      <c r="A126"/>
      <c r="L126" s="82" t="s">
        <v>79</v>
      </c>
    </row>
    <row r="127" spans="1:16" x14ac:dyDescent="0.2">
      <c r="A127"/>
      <c r="L127" s="82" t="s">
        <v>80</v>
      </c>
    </row>
    <row r="128" spans="1:16" x14ac:dyDescent="0.2">
      <c r="A128"/>
      <c r="L128" s="82" t="s">
        <v>81</v>
      </c>
    </row>
    <row r="129" spans="1:12" x14ac:dyDescent="0.2">
      <c r="A129"/>
      <c r="L129" s="82" t="s">
        <v>82</v>
      </c>
    </row>
    <row r="130" spans="1:12" x14ac:dyDescent="0.2">
      <c r="A130"/>
      <c r="L130" s="82" t="s">
        <v>83</v>
      </c>
    </row>
    <row r="131" spans="1:12" x14ac:dyDescent="0.2">
      <c r="A131"/>
      <c r="L131" s="82" t="s">
        <v>84</v>
      </c>
    </row>
    <row r="132" spans="1:12" x14ac:dyDescent="0.2">
      <c r="A132"/>
      <c r="L132" s="82" t="s">
        <v>65</v>
      </c>
    </row>
    <row r="133" spans="1:12" x14ac:dyDescent="0.2">
      <c r="A133"/>
      <c r="L133" s="82" t="s">
        <v>85</v>
      </c>
    </row>
    <row r="134" spans="1:12" x14ac:dyDescent="0.2">
      <c r="A134"/>
      <c r="L134" s="82" t="s">
        <v>86</v>
      </c>
    </row>
    <row r="135" spans="1:12" x14ac:dyDescent="0.2">
      <c r="A135"/>
    </row>
    <row r="136" spans="1:12" x14ac:dyDescent="0.2">
      <c r="A136"/>
    </row>
    <row r="137" spans="1:12" x14ac:dyDescent="0.2">
      <c r="A137"/>
    </row>
    <row r="138" spans="1:12" x14ac:dyDescent="0.2">
      <c r="A138"/>
    </row>
    <row r="139" spans="1:12" x14ac:dyDescent="0.2">
      <c r="A139"/>
    </row>
    <row r="140" spans="1:12" x14ac:dyDescent="0.2">
      <c r="A140"/>
    </row>
    <row r="141" spans="1:12" x14ac:dyDescent="0.2">
      <c r="A141"/>
    </row>
    <row r="142" spans="1:12" x14ac:dyDescent="0.2">
      <c r="A142"/>
    </row>
    <row r="143" spans="1:12" x14ac:dyDescent="0.2">
      <c r="A143"/>
    </row>
    <row r="144" spans="1:12"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row>
    <row r="172" spans="1:1" x14ac:dyDescent="0.2">
      <c r="A172"/>
    </row>
    <row r="173" spans="1:1" x14ac:dyDescent="0.2">
      <c r="A173"/>
    </row>
    <row r="174" spans="1:1" x14ac:dyDescent="0.2">
      <c r="A174"/>
    </row>
    <row r="175" spans="1:1" x14ac:dyDescent="0.2">
      <c r="A175"/>
    </row>
    <row r="176" spans="1:1" x14ac:dyDescent="0.2">
      <c r="A176"/>
    </row>
    <row r="177" spans="1:1" x14ac:dyDescent="0.2">
      <c r="A177"/>
    </row>
    <row r="178" spans="1:1" x14ac:dyDescent="0.2">
      <c r="A178"/>
    </row>
    <row r="179" spans="1:1" x14ac:dyDescent="0.2">
      <c r="A179"/>
    </row>
    <row r="180" spans="1:1" x14ac:dyDescent="0.2">
      <c r="A180"/>
    </row>
    <row r="219" spans="1:24" ht="12.75" customHeight="1" x14ac:dyDescent="0.2"/>
    <row r="220" spans="1:24" ht="12.75" customHeight="1" x14ac:dyDescent="0.2">
      <c r="A220" s="256" t="str">
        <f>A28</f>
        <v>Nº OPERAÇÃO</v>
      </c>
      <c r="B220" s="258"/>
      <c r="C220" s="256" t="str">
        <f>C28</f>
        <v>GESTOR</v>
      </c>
      <c r="D220" s="257"/>
      <c r="E220" s="258"/>
      <c r="F220" s="256" t="str">
        <f>F28</f>
        <v>PROGRAMA</v>
      </c>
      <c r="G220" s="257"/>
      <c r="H220" s="257"/>
      <c r="I220" s="258"/>
      <c r="J220" s="256" t="str">
        <f>J28</f>
        <v>AÇÃO / MODALIDADE</v>
      </c>
      <c r="K220" s="257"/>
      <c r="L220" s="257"/>
      <c r="M220" s="257"/>
      <c r="N220" s="257"/>
      <c r="O220" s="258"/>
      <c r="P220" s="256" t="str">
        <f>P28</f>
        <v>OBJETO</v>
      </c>
      <c r="Q220" s="257"/>
      <c r="R220" s="257"/>
      <c r="S220" s="257"/>
      <c r="T220" s="257"/>
      <c r="U220" s="257"/>
      <c r="V220" s="257"/>
      <c r="W220" s="257"/>
      <c r="X220" s="258"/>
    </row>
    <row r="221" spans="1:24" ht="12.75" customHeight="1" x14ac:dyDescent="0.2">
      <c r="A221" s="291" t="str">
        <f>IF(A29="","",A29)</f>
        <v>828702/2016</v>
      </c>
      <c r="B221" s="293"/>
      <c r="C221" s="291" t="str">
        <f>IF(C29="","",C29)</f>
        <v>MINISTERIO DAS CIDADES</v>
      </c>
      <c r="D221" s="292"/>
      <c r="E221" s="293"/>
      <c r="F221" s="291" t="str">
        <f>IF(F29="","",F29)</f>
        <v>PLANEJAMENTO URBANO</v>
      </c>
      <c r="G221" s="292"/>
      <c r="H221" s="292"/>
      <c r="I221" s="293"/>
      <c r="J221" s="291" t="str">
        <f>IF(J29="","",J29)</f>
        <v>PAVIMENTAÇÃO COM CALÇADA</v>
      </c>
      <c r="K221" s="292"/>
      <c r="L221" s="292" t="e">
        <f>IF(#REF!="","",#REF!)</f>
        <v>#REF!</v>
      </c>
      <c r="M221" s="292"/>
      <c r="N221" s="292" t="e">
        <f>IF(#REF!="","",#REF!)</f>
        <v>#REF!</v>
      </c>
      <c r="O221" s="293"/>
      <c r="P221" s="291" t="str">
        <f>IF(P29="","",P29)</f>
        <v>PAVIMENTAÇÃO COM CALÇADA RUA GRACIOSO CONZATTI CENTRO RODEIO</v>
      </c>
      <c r="Q221" s="292"/>
      <c r="R221" s="292"/>
      <c r="S221" s="292"/>
      <c r="T221" s="292"/>
      <c r="U221" s="292"/>
      <c r="V221" s="292"/>
      <c r="W221" s="292"/>
      <c r="X221" s="293"/>
    </row>
    <row r="222" spans="1:24" ht="6"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1"/>
      <c r="X222" s="21"/>
    </row>
    <row r="223" spans="1:24" x14ac:dyDescent="0.2">
      <c r="A223" s="256" t="str">
        <f>A31</f>
        <v>PROPONENTE / TOMADOR</v>
      </c>
      <c r="B223" s="257"/>
      <c r="C223" s="257"/>
      <c r="D223" s="257"/>
      <c r="E223" s="257"/>
      <c r="F223" s="257"/>
      <c r="G223" s="256" t="str">
        <f>G31</f>
        <v>MUNICÍPIO / UF</v>
      </c>
      <c r="H223" s="257"/>
      <c r="I223" s="257"/>
      <c r="J223" s="258"/>
      <c r="K223" s="256" t="str">
        <f>K31</f>
        <v>LOCALIDADE / ENDEREÇO</v>
      </c>
      <c r="L223" s="257"/>
      <c r="M223" s="257"/>
      <c r="N223" s="257"/>
      <c r="O223" s="257"/>
      <c r="P223" s="258"/>
      <c r="Q223" s="256" t="str">
        <f>Q31</f>
        <v>APELIDO DO EMPREENDIMENTO</v>
      </c>
      <c r="R223" s="257"/>
      <c r="S223" s="257"/>
      <c r="T223" s="257"/>
      <c r="U223" s="257"/>
      <c r="V223" s="257"/>
      <c r="W223" s="257"/>
      <c r="X223" s="258"/>
    </row>
    <row r="224" spans="1:24" ht="12.75" customHeight="1" x14ac:dyDescent="0.2">
      <c r="A224" s="289" t="str">
        <f>IF(A32="","",A32)</f>
        <v>PREFEITURA DE RODEIO</v>
      </c>
      <c r="B224" s="290"/>
      <c r="C224" s="290"/>
      <c r="D224" s="290"/>
      <c r="E224" s="290"/>
      <c r="F224" s="290"/>
      <c r="G224" s="291" t="str">
        <f>IF(G32="","",G32)</f>
        <v>RODEIO SC</v>
      </c>
      <c r="H224" s="292" t="str">
        <f>IF(I32="","",I32)</f>
        <v/>
      </c>
      <c r="I224" s="292"/>
      <c r="J224" s="293" t="e">
        <f>IF(#REF!="","",#REF!)</f>
        <v>#REF!</v>
      </c>
      <c r="K224" s="291" t="str">
        <f>IF(K32="","",K32)</f>
        <v>RUA GRACIOSO CONZATTI, CENTRO</v>
      </c>
      <c r="L224" s="292"/>
      <c r="M224" s="292"/>
      <c r="N224" s="292"/>
      <c r="O224" s="292"/>
      <c r="P224" s="293"/>
      <c r="Q224" s="291" t="str">
        <f>IF(Q32="","",Q32)</f>
        <v>RUA GRACIOSO CONZATTI</v>
      </c>
      <c r="R224" s="292"/>
      <c r="S224" s="292"/>
      <c r="T224" s="292"/>
      <c r="U224" s="292"/>
      <c r="V224" s="292"/>
      <c r="W224" s="292"/>
      <c r="X224" s="293"/>
    </row>
    <row r="225" spans="1:24" ht="6"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1"/>
      <c r="X225" s="21"/>
    </row>
    <row r="226" spans="1:24" x14ac:dyDescent="0.2">
      <c r="A226" s="256" t="str">
        <f>A37</f>
        <v>DATA BASE</v>
      </c>
      <c r="B226" s="258"/>
      <c r="C226" s="135" t="str">
        <f>C37</f>
        <v>DESON.</v>
      </c>
      <c r="D226" s="256" t="str">
        <f>D37</f>
        <v>LOCALIDADE DO SINAPI</v>
      </c>
      <c r="E226" s="257"/>
      <c r="F226" s="258"/>
      <c r="G226" s="256" t="str">
        <f>G37</f>
        <v>DESCRIÇÃO DO LOTE</v>
      </c>
      <c r="H226" s="257"/>
      <c r="I226" s="257"/>
      <c r="J226" s="257"/>
      <c r="K226" s="257"/>
      <c r="L226" s="257"/>
      <c r="M226" s="257"/>
      <c r="N226" s="257"/>
      <c r="O226" s="257"/>
      <c r="P226" s="257"/>
      <c r="Q226" s="257"/>
      <c r="R226" s="257"/>
      <c r="S226" s="258"/>
      <c r="T226" s="136" t="str">
        <f>T37</f>
        <v>BDI 1</v>
      </c>
      <c r="U226" s="136" t="str">
        <f>U37</f>
        <v>BDI 2</v>
      </c>
      <c r="V226" s="136" t="str">
        <f>V37</f>
        <v>BDI 3</v>
      </c>
      <c r="W226" s="136" t="str">
        <f>W37</f>
        <v>BDI 4</v>
      </c>
      <c r="X226" s="136" t="str">
        <f>X37</f>
        <v>BDI 5</v>
      </c>
    </row>
    <row r="227" spans="1:24" ht="12.75" customHeight="1" x14ac:dyDescent="0.2">
      <c r="A227" s="296">
        <f>IF(A38="","",A38)</f>
        <v>43494</v>
      </c>
      <c r="B227" s="297"/>
      <c r="C227" s="137" t="str">
        <f t="shared" ref="C227:X227" si="0">IF(C38="","",C38)</f>
        <v>Não</v>
      </c>
      <c r="D227" s="298" t="str">
        <f t="shared" si="0"/>
        <v>Florianópolis / SC</v>
      </c>
      <c r="E227" s="299" t="str">
        <f t="shared" si="0"/>
        <v/>
      </c>
      <c r="F227" s="300" t="str">
        <f t="shared" si="0"/>
        <v/>
      </c>
      <c r="G227" s="298" t="str">
        <f t="shared" si="0"/>
        <v>RUA GRACIOSO ONZATTI</v>
      </c>
      <c r="H227" s="299" t="str">
        <f t="shared" si="0"/>
        <v/>
      </c>
      <c r="I227" s="299" t="str">
        <f t="shared" si="0"/>
        <v/>
      </c>
      <c r="J227" s="299" t="str">
        <f t="shared" si="0"/>
        <v/>
      </c>
      <c r="K227" s="299" t="str">
        <f t="shared" si="0"/>
        <v/>
      </c>
      <c r="L227" s="299" t="str">
        <f t="shared" si="0"/>
        <v/>
      </c>
      <c r="M227" s="299" t="str">
        <f t="shared" si="0"/>
        <v/>
      </c>
      <c r="N227" s="299" t="str">
        <f t="shared" si="0"/>
        <v/>
      </c>
      <c r="O227" s="299" t="str">
        <f t="shared" si="0"/>
        <v/>
      </c>
      <c r="P227" s="299" t="str">
        <f t="shared" si="0"/>
        <v/>
      </c>
      <c r="Q227" s="299" t="str">
        <f t="shared" si="0"/>
        <v/>
      </c>
      <c r="R227" s="299" t="str">
        <f t="shared" si="0"/>
        <v/>
      </c>
      <c r="S227" s="300" t="str">
        <f t="shared" si="0"/>
        <v/>
      </c>
      <c r="T227" s="139">
        <f t="shared" ca="1" si="0"/>
        <v>0.24179999999999999</v>
      </c>
      <c r="U227" s="96" t="str">
        <f t="shared" ca="1" si="0"/>
        <v/>
      </c>
      <c r="V227" s="96" t="str">
        <f t="shared" ca="1" si="0"/>
        <v/>
      </c>
      <c r="W227" s="96" t="str">
        <f t="shared" ca="1" si="0"/>
        <v/>
      </c>
      <c r="X227" s="96" t="str">
        <f t="shared" ca="1" si="0"/>
        <v/>
      </c>
    </row>
    <row r="228" spans="1:24" ht="6" hidden="1"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1"/>
      <c r="X228" s="21"/>
    </row>
    <row r="229" spans="1:24" ht="12.75" hidden="1" customHeight="1" x14ac:dyDescent="0.2">
      <c r="A229" s="256" t="s">
        <v>87</v>
      </c>
      <c r="B229" s="258"/>
      <c r="C229" s="256" t="s">
        <v>164</v>
      </c>
      <c r="D229" s="257"/>
      <c r="E229" s="257"/>
      <c r="F229" s="257"/>
      <c r="G229" s="257"/>
      <c r="H229" s="256" t="s">
        <v>16</v>
      </c>
      <c r="I229" s="257"/>
      <c r="J229" s="134" t="s">
        <v>91</v>
      </c>
      <c r="K229" s="256" t="s">
        <v>88</v>
      </c>
      <c r="L229" s="257"/>
      <c r="M229" s="258"/>
      <c r="N229" s="134" t="s">
        <v>92</v>
      </c>
      <c r="O229" s="256" t="s">
        <v>93</v>
      </c>
      <c r="P229" s="257"/>
      <c r="Q229" s="257"/>
      <c r="R229" s="257"/>
      <c r="S229" s="257"/>
      <c r="T229" s="258"/>
      <c r="U229" s="294" t="s">
        <v>89</v>
      </c>
      <c r="V229" s="295"/>
      <c r="W229" s="294" t="s">
        <v>90</v>
      </c>
      <c r="X229" s="295"/>
    </row>
    <row r="230" spans="1:24" s="21" customFormat="1" ht="12.75" hidden="1" customHeight="1" x14ac:dyDescent="0.2">
      <c r="A230" s="298" t="str">
        <f>IF(A43="","",A43)</f>
        <v/>
      </c>
      <c r="B230" s="300"/>
      <c r="C230" s="298" t="str">
        <f>IF(C43="","",C43)</f>
        <v/>
      </c>
      <c r="D230" s="299"/>
      <c r="E230" s="299" t="str">
        <f>IF(E43="","",E43)</f>
        <v/>
      </c>
      <c r="F230" s="299"/>
      <c r="G230" s="299" t="str">
        <f>IF(G43="","",G43)</f>
        <v/>
      </c>
      <c r="H230" s="314" t="str">
        <f>IF(H43="","",H43)</f>
        <v/>
      </c>
      <c r="I230" s="315" t="str">
        <f>IF(I43="","",I43)</f>
        <v/>
      </c>
      <c r="J230" s="138" t="str">
        <f>IF(J43="","",J43)</f>
        <v/>
      </c>
      <c r="K230" s="306" t="str">
        <f>IF(K43="","",K43)</f>
        <v/>
      </c>
      <c r="L230" s="308"/>
      <c r="M230" s="309" t="str">
        <f>IF(M43="","",M43)</f>
        <v/>
      </c>
      <c r="N230" s="140" t="str">
        <f>IF(N43="","",N43)</f>
        <v/>
      </c>
      <c r="O230" s="306" t="str">
        <f>IF(O43="","",O43)</f>
        <v/>
      </c>
      <c r="P230" s="307"/>
      <c r="Q230" s="307" t="str">
        <f>IF(Q43="","",Q43)</f>
        <v/>
      </c>
      <c r="R230" s="308"/>
      <c r="S230" s="308" t="str">
        <f>IF(S43="","",S43)</f>
        <v/>
      </c>
      <c r="T230" s="309"/>
      <c r="U230" s="312" t="str">
        <f>IF(U43="","",U43)</f>
        <v/>
      </c>
      <c r="V230" s="313"/>
      <c r="W230" s="310" t="str">
        <f>IF(W43="","",W43)</f>
        <v/>
      </c>
      <c r="X230" s="311"/>
    </row>
    <row r="231" spans="1:24" x14ac:dyDescent="0.2">
      <c r="A231" s="22"/>
      <c r="B231" s="22"/>
      <c r="C231" s="21"/>
      <c r="D231" s="21"/>
      <c r="E231" s="21"/>
      <c r="F231" s="23"/>
      <c r="G231" s="23"/>
      <c r="H231" s="23"/>
      <c r="I231" s="21"/>
      <c r="J231" s="21"/>
      <c r="K231" s="21"/>
      <c r="L231" s="21"/>
      <c r="M231" s="21"/>
      <c r="N231" s="21"/>
      <c r="O231" s="21"/>
      <c r="P231" s="21"/>
      <c r="Q231" s="21"/>
      <c r="R231" s="21"/>
      <c r="S231" s="21"/>
      <c r="T231" s="21"/>
      <c r="U231" s="21"/>
      <c r="V231" s="21"/>
      <c r="W231" s="21"/>
      <c r="X231" s="21"/>
    </row>
    <row r="232" spans="1:24" ht="6" customHeight="1" x14ac:dyDescent="0.2">
      <c r="A232" s="1"/>
      <c r="B232" s="1"/>
      <c r="F232" s="1"/>
      <c r="G232" s="1"/>
      <c r="H232" s="1"/>
    </row>
    <row r="233" spans="1:24" x14ac:dyDescent="0.2">
      <c r="A233" s="1"/>
      <c r="B233" s="1"/>
      <c r="F233" s="1"/>
      <c r="G233" s="1"/>
      <c r="H233" s="1"/>
    </row>
    <row r="234" spans="1:24" x14ac:dyDescent="0.2">
      <c r="A234" s="1"/>
      <c r="B234" s="1"/>
      <c r="F234" s="1"/>
      <c r="G234" s="1"/>
      <c r="H234" s="1"/>
    </row>
    <row r="235" spans="1:24" x14ac:dyDescent="0.2">
      <c r="A235" s="1"/>
      <c r="B235" s="1"/>
      <c r="F235" s="1"/>
      <c r="G235" s="1"/>
      <c r="H235" s="1"/>
    </row>
    <row r="236" spans="1:24" ht="12.75" hidden="1" customHeight="1" x14ac:dyDescent="0.2">
      <c r="A236" s="1"/>
      <c r="B236" s="1"/>
      <c r="F236" s="1"/>
      <c r="G236" s="1"/>
      <c r="H236" s="1"/>
    </row>
    <row r="237" spans="1:24" ht="6" hidden="1" customHeight="1" x14ac:dyDescent="0.2">
      <c r="A237" s="1"/>
      <c r="B237" s="1"/>
      <c r="F237" s="1"/>
      <c r="G237" s="1"/>
      <c r="H237" s="1"/>
    </row>
    <row r="238" spans="1:24" ht="12.75" hidden="1" customHeight="1" x14ac:dyDescent="0.2">
      <c r="A238" s="1"/>
      <c r="B238" s="1"/>
      <c r="F238" s="1"/>
      <c r="G238" s="1"/>
      <c r="H238" s="1"/>
    </row>
    <row r="239" spans="1:24" ht="12.75" hidden="1" customHeight="1" x14ac:dyDescent="0.2">
      <c r="A239" s="1"/>
      <c r="B239" s="1"/>
      <c r="F239" s="1"/>
      <c r="G239" s="1"/>
      <c r="H239" s="1"/>
    </row>
    <row r="240" spans="1:24" ht="6" hidden="1" customHeight="1" x14ac:dyDescent="0.2">
      <c r="A240" s="1"/>
      <c r="B240" s="1"/>
      <c r="F240" s="1"/>
      <c r="G240" s="1"/>
      <c r="H240" s="1"/>
    </row>
    <row r="241" spans="1:8" ht="12.75" hidden="1" customHeight="1" x14ac:dyDescent="0.2">
      <c r="A241" s="1"/>
      <c r="B241" s="1"/>
      <c r="F241" s="1"/>
      <c r="G241" s="1"/>
      <c r="H241" s="1"/>
    </row>
    <row r="242" spans="1:8" ht="12.75" hidden="1" customHeight="1" x14ac:dyDescent="0.2">
      <c r="A242" s="1"/>
      <c r="B242" s="1"/>
      <c r="F242" s="1"/>
      <c r="G242" s="1"/>
      <c r="H242" s="1"/>
    </row>
    <row r="243" spans="1:8" ht="12.75" hidden="1" customHeight="1" x14ac:dyDescent="0.2">
      <c r="A243" s="1"/>
      <c r="B243" s="1"/>
      <c r="F243" s="1"/>
      <c r="G243" s="1"/>
      <c r="H243" s="1"/>
    </row>
    <row r="244" spans="1:8" ht="12.75" customHeight="1" x14ac:dyDescent="0.2">
      <c r="A244" s="1"/>
      <c r="B244" s="1"/>
      <c r="F244" s="1"/>
      <c r="G244" s="1"/>
      <c r="H244" s="1"/>
    </row>
    <row r="245" spans="1:8" ht="6" customHeight="1" x14ac:dyDescent="0.2">
      <c r="A245" s="1"/>
      <c r="B245" s="1"/>
      <c r="F245" s="1"/>
      <c r="G245" s="1"/>
      <c r="H245" s="1"/>
    </row>
    <row r="246" spans="1:8" ht="12.75" customHeight="1" x14ac:dyDescent="0.2">
      <c r="A246" s="1"/>
      <c r="B246" s="1"/>
      <c r="F246" s="1"/>
      <c r="G246" s="1"/>
      <c r="H246" s="1"/>
    </row>
    <row r="247" spans="1:8" ht="12.75" customHeight="1" x14ac:dyDescent="0.2">
      <c r="A247" s="1"/>
      <c r="B247" s="1"/>
      <c r="F247" s="1"/>
      <c r="G247" s="1"/>
      <c r="H247" s="1"/>
    </row>
    <row r="248" spans="1:8" ht="12.75" customHeight="1" x14ac:dyDescent="0.2">
      <c r="A248" s="1"/>
      <c r="B248" s="1"/>
      <c r="F248" s="1"/>
      <c r="G248" s="1"/>
      <c r="H248" s="1"/>
    </row>
    <row r="249" spans="1:8" ht="12.75" customHeight="1" x14ac:dyDescent="0.2">
      <c r="A249" s="1"/>
      <c r="B249" s="1"/>
      <c r="F249" s="1"/>
      <c r="G249" s="1"/>
      <c r="H249" s="1"/>
    </row>
    <row r="250" spans="1:8" ht="6" customHeight="1" x14ac:dyDescent="0.2">
      <c r="A250" s="1"/>
      <c r="B250" s="1"/>
      <c r="F250" s="1"/>
      <c r="G250" s="1"/>
      <c r="H250" s="1"/>
    </row>
    <row r="251" spans="1:8" x14ac:dyDescent="0.2">
      <c r="A251" s="1"/>
      <c r="B251" s="1"/>
      <c r="F251" s="1"/>
      <c r="G251" s="1"/>
      <c r="H251" s="1"/>
    </row>
    <row r="252" spans="1:8" x14ac:dyDescent="0.2">
      <c r="A252" s="1"/>
      <c r="B252" s="1"/>
      <c r="F252" s="1"/>
      <c r="G252" s="1"/>
      <c r="H252" s="1"/>
    </row>
    <row r="253" spans="1:8" x14ac:dyDescent="0.2">
      <c r="A253" s="1"/>
      <c r="B253" s="1"/>
      <c r="F253" s="1"/>
      <c r="G253" s="1"/>
      <c r="H253" s="1"/>
    </row>
    <row r="254" spans="1:8" x14ac:dyDescent="0.2">
      <c r="A254" s="1"/>
      <c r="B254" s="1"/>
      <c r="F254" s="1"/>
      <c r="G254" s="1"/>
      <c r="H254" s="1"/>
    </row>
    <row r="255" spans="1:8" x14ac:dyDescent="0.2">
      <c r="A255" s="1"/>
      <c r="B255" s="1"/>
      <c r="F255" s="1"/>
      <c r="G255" s="1"/>
      <c r="H255" s="1"/>
    </row>
    <row r="256" spans="1:8" x14ac:dyDescent="0.2">
      <c r="A256" s="1"/>
      <c r="B256" s="1"/>
      <c r="F256" s="1"/>
      <c r="G256" s="1"/>
      <c r="H256" s="1"/>
    </row>
    <row r="257" spans="1:8" x14ac:dyDescent="0.2">
      <c r="A257" s="1"/>
      <c r="B257" s="1"/>
      <c r="F257" s="1"/>
      <c r="G257" s="1"/>
      <c r="H257" s="1"/>
    </row>
  </sheetData>
  <sheetProtection password="C95B" sheet="1" objects="1" scenarios="1"/>
  <mergeCells count="136">
    <mergeCell ref="C221:E221"/>
    <mergeCell ref="F220:I220"/>
    <mergeCell ref="F221:I221"/>
    <mergeCell ref="P220:X220"/>
    <mergeCell ref="P221:X221"/>
    <mergeCell ref="J28:O28"/>
    <mergeCell ref="G32:J32"/>
    <mergeCell ref="K31:P31"/>
    <mergeCell ref="K32:P32"/>
    <mergeCell ref="P28:X28"/>
    <mergeCell ref="Q31:X31"/>
    <mergeCell ref="Q32:X32"/>
    <mergeCell ref="A31:F31"/>
    <mergeCell ref="C28:E28"/>
    <mergeCell ref="C29:E29"/>
    <mergeCell ref="F28:I28"/>
    <mergeCell ref="F29:I29"/>
    <mergeCell ref="A32:F32"/>
    <mergeCell ref="G31:J31"/>
    <mergeCell ref="P29:X29"/>
    <mergeCell ref="J29:O29"/>
    <mergeCell ref="A67:X67"/>
    <mergeCell ref="A88:X88"/>
    <mergeCell ref="K43:M43"/>
    <mergeCell ref="O230:T230"/>
    <mergeCell ref="H229:I229"/>
    <mergeCell ref="K229:M229"/>
    <mergeCell ref="O229:T229"/>
    <mergeCell ref="W230:X230"/>
    <mergeCell ref="Q224:X224"/>
    <mergeCell ref="K223:P223"/>
    <mergeCell ref="A80:X80"/>
    <mergeCell ref="A83:X83"/>
    <mergeCell ref="A230:B230"/>
    <mergeCell ref="U230:V230"/>
    <mergeCell ref="K230:M230"/>
    <mergeCell ref="J221:O221"/>
    <mergeCell ref="G227:S227"/>
    <mergeCell ref="A229:B229"/>
    <mergeCell ref="C229:G229"/>
    <mergeCell ref="C230:G230"/>
    <mergeCell ref="H230:I230"/>
    <mergeCell ref="K224:P224"/>
    <mergeCell ref="Q223:X223"/>
    <mergeCell ref="D226:F226"/>
    <mergeCell ref="A85:X85"/>
    <mergeCell ref="A221:B221"/>
    <mergeCell ref="A223:F223"/>
    <mergeCell ref="A224:F224"/>
    <mergeCell ref="G224:J224"/>
    <mergeCell ref="G223:J223"/>
    <mergeCell ref="C220:E220"/>
    <mergeCell ref="A87:X87"/>
    <mergeCell ref="W229:X229"/>
    <mergeCell ref="U229:V229"/>
    <mergeCell ref="H43:I43"/>
    <mergeCell ref="A227:B227"/>
    <mergeCell ref="G226:S226"/>
    <mergeCell ref="A226:B226"/>
    <mergeCell ref="A220:B220"/>
    <mergeCell ref="D227:F227"/>
    <mergeCell ref="A48:C48"/>
    <mergeCell ref="H57:K57"/>
    <mergeCell ref="B54:E54"/>
    <mergeCell ref="A65:X65"/>
    <mergeCell ref="H55:K55"/>
    <mergeCell ref="A45:X45"/>
    <mergeCell ref="A63:X63"/>
    <mergeCell ref="A50:X50"/>
    <mergeCell ref="B55:E55"/>
    <mergeCell ref="B57:E57"/>
    <mergeCell ref="H54:K54"/>
    <mergeCell ref="B1:X2"/>
    <mergeCell ref="H56:K56"/>
    <mergeCell ref="W42:X42"/>
    <mergeCell ref="A37:B37"/>
    <mergeCell ref="A42:B42"/>
    <mergeCell ref="W43:X43"/>
    <mergeCell ref="O43:T43"/>
    <mergeCell ref="C43:G43"/>
    <mergeCell ref="K42:M42"/>
    <mergeCell ref="U43:V43"/>
    <mergeCell ref="A35:X35"/>
    <mergeCell ref="G37:S37"/>
    <mergeCell ref="D37:F37"/>
    <mergeCell ref="A4:X4"/>
    <mergeCell ref="A6:X6"/>
    <mergeCell ref="A8:X8"/>
    <mergeCell ref="A24:X24"/>
    <mergeCell ref="A14:X14"/>
    <mergeCell ref="A10:X10"/>
    <mergeCell ref="A12:X12"/>
    <mergeCell ref="H42:I42"/>
    <mergeCell ref="B56:E56"/>
    <mergeCell ref="O42:T42"/>
    <mergeCell ref="A43:B43"/>
    <mergeCell ref="J220:O220"/>
    <mergeCell ref="A99:X99"/>
    <mergeCell ref="A98:X98"/>
    <mergeCell ref="A97:X97"/>
    <mergeCell ref="A26:X26"/>
    <mergeCell ref="A28:B28"/>
    <mergeCell ref="A29:B29"/>
    <mergeCell ref="A69:X69"/>
    <mergeCell ref="A60:X60"/>
    <mergeCell ref="A62:X62"/>
    <mergeCell ref="A101:X101"/>
    <mergeCell ref="A95:X95"/>
    <mergeCell ref="A96:X96"/>
    <mergeCell ref="A38:B38"/>
    <mergeCell ref="U42:V42"/>
    <mergeCell ref="A70:X70"/>
    <mergeCell ref="A40:X40"/>
    <mergeCell ref="A100:X100"/>
    <mergeCell ref="A74:X74"/>
    <mergeCell ref="A81:X81"/>
    <mergeCell ref="A90:X90"/>
    <mergeCell ref="A93:X93"/>
    <mergeCell ref="A94:X94"/>
    <mergeCell ref="A92:X92"/>
    <mergeCell ref="G38:S38"/>
    <mergeCell ref="A86:X86"/>
    <mergeCell ref="D38:F38"/>
    <mergeCell ref="C42:G42"/>
    <mergeCell ref="A68:X68"/>
    <mergeCell ref="A78:X78"/>
    <mergeCell ref="A71:X71"/>
    <mergeCell ref="A72:X72"/>
    <mergeCell ref="A16:X16"/>
    <mergeCell ref="A18:X18"/>
    <mergeCell ref="A22:I22"/>
    <mergeCell ref="A76:X76"/>
    <mergeCell ref="A84:X84"/>
    <mergeCell ref="A77:X77"/>
    <mergeCell ref="A79:X79"/>
    <mergeCell ref="A82:X82"/>
  </mergeCells>
  <phoneticPr fontId="25" type="noConversion"/>
  <conditionalFormatting sqref="B54:E55 B56 B57:E57">
    <cfRule type="expression" dxfId="227" priority="42" stopIfTrue="1">
      <formula>$B54&lt;&gt;""</formula>
    </cfRule>
  </conditionalFormatting>
  <conditionalFormatting sqref="A48 H54:K54 H55:H56 H57:K57 A29:C29 J29 F29 A32 P29 G32 K32">
    <cfRule type="expression" dxfId="226" priority="48" stopIfTrue="1">
      <formula>A29&lt;&gt;""</formula>
    </cfRule>
  </conditionalFormatting>
  <conditionalFormatting sqref="G53:K54 G55:H56 G57:K57">
    <cfRule type="expression" dxfId="225" priority="43" stopIfTrue="1">
      <formula>$K$52&lt;&gt;"SIM"</formula>
    </cfRule>
  </conditionalFormatting>
  <conditionalFormatting sqref="A40:X43">
    <cfRule type="expression" dxfId="224" priority="56" stopIfTrue="1">
      <formula>OR(TipoOrçamento="BASE",TipoOrçamento="REPROGRAMADONPL")</formula>
    </cfRule>
    <cfRule type="expression" dxfId="223" priority="57" stopIfTrue="1">
      <formula>A40&lt;&gt;""</formula>
    </cfRule>
  </conditionalFormatting>
  <conditionalFormatting sqref="A35:X38">
    <cfRule type="expression" dxfId="222" priority="58" stopIfTrue="1">
      <formula>OR(TipoOrçamento="LICITADO",TipoOrçamento="REPROGRAMADOAC")</formula>
    </cfRule>
    <cfRule type="expression" dxfId="221" priority="59" stopIfTrue="1">
      <formula>A35&lt;&gt;""</formula>
    </cfRule>
  </conditionalFormatting>
  <conditionalFormatting sqref="Q32">
    <cfRule type="expression" dxfId="220" priority="1" stopIfTrue="1">
      <formula>Q32&lt;&gt;""</formula>
    </cfRule>
  </conditionalFormatting>
  <dataValidations count="7">
    <dataValidation type="list" allowBlank="1" showInputMessage="1" showErrorMessage="1" sqref="C227 J43 C38" xr:uid="{00000000-0002-0000-0000-000000000000}">
      <formula1>"Sim,Não"</formula1>
    </dataValidation>
    <dataValidation type="list" allowBlank="1" showInputMessage="1" showErrorMessage="1" sqref="K52" xr:uid="{00000000-0002-0000-0000-000001000000}">
      <formula1>"SIM,NÃO"</formula1>
    </dataValidation>
    <dataValidation type="list" allowBlank="1" showInputMessage="1" showErrorMessage="1" sqref="D38:F38" xr:uid="{00000000-0002-0000-0000-000002000000}">
      <formula1>Dados.Lista.Localidade</formula1>
    </dataValidation>
    <dataValidation type="list" allowBlank="1" showInputMessage="1" showErrorMessage="1" sqref="K43:M43" xr:uid="{00000000-0002-0000-0000-000003000000}">
      <formula1>Dados.Lista.RegimeExecução</formula1>
    </dataValidation>
    <dataValidation type="list" allowBlank="1" showInputMessage="1" showErrorMessage="1" sqref="N43" xr:uid="{00000000-0002-0000-0000-000004000000}">
      <formula1>Dados.Lista.Acompanhamento</formula1>
    </dataValidation>
    <dataValidation type="date" operator="greaterThan" allowBlank="1" showInputMessage="1" showErrorMessage="1" errorTitle="Erro de valor" error="Digite somente datas." sqref="A38:B38 H43:I43 A48:C48" xr:uid="{00000000-0002-0000-0000-000005000000}">
      <formula1>36526</formula1>
    </dataValidation>
    <dataValidation allowBlank="1" showInputMessage="1" showErrorMessage="1" promptTitle="Nº OPERAÇÃO:" prompt="nº do Contrato de Repasse ou Termo de Compromisso, firmado com a CAIXA._x000a_Formato 0.000.000-00/0000." sqref="A29:B29" xr:uid="{00000000-0002-0000-0000-000006000000}"/>
  </dataValidations>
  <pageMargins left="0.78740157480314998" right="0.78740157480314998" top="0.78740157480314998" bottom="0.78740157480314998" header="5.7086614173228396" footer="0.59055118110236204"/>
  <pageSetup paperSize="9" scale="41" orientation="portrait" horizontalDpi="4294967295" verticalDpi="4294967295" r:id="rId1"/>
  <headerFooter alignWithMargins="0">
    <oddHeader>&amp;L_</oddHeader>
    <oddFooter>&amp;R&amp;P&amp;L27.476 v008   micro</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202" r:id="rId4" name="OptionPLQ-ON">
              <controlPr defaultSize="0" print="0" autoFill="0" autoLine="0" autoPict="0" macro="[0]!ShowPLQ" altText="Parcela 1">
                <anchor moveWithCells="1">
                  <from>
                    <xdr:col>0</xdr:col>
                    <xdr:colOff>381000</xdr:colOff>
                    <xdr:row>18</xdr:row>
                    <xdr:rowOff>85725</xdr:rowOff>
                  </from>
                  <to>
                    <xdr:col>5</xdr:col>
                    <xdr:colOff>228600</xdr:colOff>
                    <xdr:row>20</xdr:row>
                    <xdr:rowOff>47625</xdr:rowOff>
                  </to>
                </anchor>
              </controlPr>
            </control>
          </mc:Choice>
        </mc:AlternateContent>
        <mc:AlternateContent xmlns:mc="http://schemas.openxmlformats.org/markup-compatibility/2006">
          <mc:Choice Requires="x14">
            <control shapeId="34203" r:id="rId5" name="OptionPLQ-OFF">
              <controlPr defaultSize="0" print="0" autoFill="0" autoLine="0" autoPict="0" macro="[0]!HidePLQ" altText="Parcela 1">
                <anchor moveWithCells="1">
                  <from>
                    <xdr:col>5</xdr:col>
                    <xdr:colOff>228600</xdr:colOff>
                    <xdr:row>18</xdr:row>
                    <xdr:rowOff>85725</xdr:rowOff>
                  </from>
                  <to>
                    <xdr:col>11</xdr:col>
                    <xdr:colOff>142875</xdr:colOff>
                    <xdr:row>20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4">
    <tabColor rgb="FFFFFF00"/>
    <pageSetUpPr fitToPage="1"/>
  </sheetPr>
  <dimension ref="A1:AE60"/>
  <sheetViews>
    <sheetView showGridLines="0" view="pageBreakPreview" topLeftCell="I16" zoomScaleNormal="100" zoomScaleSheetLayoutView="100" zoomScalePageLayoutView="70" workbookViewId="0">
      <selection activeCell="T27" sqref="T27"/>
    </sheetView>
  </sheetViews>
  <sheetFormatPr defaultColWidth="0" defaultRowHeight="12.75" zeroHeight="1" x14ac:dyDescent="0.2"/>
  <cols>
    <col min="1" max="1" width="30.28515625" style="52" hidden="1" customWidth="1"/>
    <col min="2" max="3" width="9.140625" style="52" hidden="1" customWidth="1"/>
    <col min="4" max="4" width="23.5703125" style="52" hidden="1" customWidth="1"/>
    <col min="5" max="8" width="9.140625" style="52" hidden="1" customWidth="1"/>
    <col min="9" max="14" width="10.7109375" style="52" customWidth="1"/>
    <col min="15" max="15" width="12.85546875" style="52" customWidth="1"/>
    <col min="16" max="18" width="10.7109375" style="52" customWidth="1"/>
    <col min="19" max="19" width="3.7109375" style="52" customWidth="1"/>
    <col min="20" max="20" width="29.5703125" style="52" customWidth="1"/>
    <col min="21" max="21" width="13.7109375" style="52" customWidth="1"/>
    <col min="22" max="16384" width="9.140625" style="52" hidden="1"/>
  </cols>
  <sheetData>
    <row r="1" spans="1:29" ht="15" customHeight="1" x14ac:dyDescent="0.25">
      <c r="E1" s="53" t="s">
        <v>25</v>
      </c>
      <c r="F1" s="53" t="s">
        <v>26</v>
      </c>
      <c r="G1" s="53" t="s">
        <v>27</v>
      </c>
      <c r="N1" s="56" t="str">
        <f ca="1">"Quadro de Composição do BDI "&amp;MID(CELL("nome.arquivo",N1),5+FIND("BDI (",CELL("nome.arquivo",N1)),1)</f>
        <v>Quadro de Composição do BDI 1</v>
      </c>
      <c r="Q1"/>
      <c r="R1"/>
    </row>
    <row r="2" spans="1:29" x14ac:dyDescent="0.2">
      <c r="A2" s="52" t="s">
        <v>28</v>
      </c>
      <c r="B2" s="54" t="s">
        <v>29</v>
      </c>
      <c r="C2" s="52" t="str">
        <f t="shared" ref="C2:C49" si="0">CONCATENATE(A2,"-",B2)</f>
        <v>Construção e Reforma de Edifícios-AC</v>
      </c>
      <c r="E2" s="55">
        <v>0.03</v>
      </c>
      <c r="F2" s="55">
        <v>0.04</v>
      </c>
      <c r="G2" s="55">
        <v>5.5E-2</v>
      </c>
      <c r="Q2"/>
      <c r="R2"/>
    </row>
    <row r="3" spans="1:29" x14ac:dyDescent="0.2">
      <c r="A3" s="52" t="str">
        <f>A2</f>
        <v>Construção e Reforma de Edifícios</v>
      </c>
      <c r="B3" s="54" t="s">
        <v>30</v>
      </c>
      <c r="C3" s="52" t="str">
        <f t="shared" si="0"/>
        <v>Construção e Reforma de Edifícios-SG</v>
      </c>
      <c r="E3" s="55">
        <v>8.0000000000000002E-3</v>
      </c>
      <c r="F3" s="55">
        <v>8.0000000000000002E-3</v>
      </c>
      <c r="G3" s="55">
        <v>0.01</v>
      </c>
    </row>
    <row r="4" spans="1:29" x14ac:dyDescent="0.2">
      <c r="A4" s="52" t="str">
        <f>A3</f>
        <v>Construção e Reforma de Edifícios</v>
      </c>
      <c r="B4" s="54" t="s">
        <v>31</v>
      </c>
      <c r="C4" s="52" t="str">
        <f t="shared" si="0"/>
        <v>Construção e Reforma de Edifícios-R</v>
      </c>
      <c r="E4" s="55">
        <v>9.7000000000000003E-3</v>
      </c>
      <c r="F4" s="55">
        <v>1.2699999999999999E-2</v>
      </c>
      <c r="G4" s="55">
        <v>1.2699999999999999E-2</v>
      </c>
      <c r="I4" s="248" t="s">
        <v>151</v>
      </c>
      <c r="J4" s="259"/>
      <c r="K4" s="248" t="s">
        <v>174</v>
      </c>
      <c r="L4" s="249"/>
      <c r="M4" s="249"/>
      <c r="N4" s="249"/>
      <c r="O4" s="249"/>
      <c r="P4" s="249"/>
      <c r="Q4" s="249"/>
      <c r="R4" s="259"/>
    </row>
    <row r="5" spans="1:29" ht="12.75" customHeight="1" x14ac:dyDescent="0.3">
      <c r="A5" s="52" t="str">
        <f>A4</f>
        <v>Construção e Reforma de Edifícios</v>
      </c>
      <c r="B5" s="54" t="s">
        <v>32</v>
      </c>
      <c r="C5" s="52" t="str">
        <f t="shared" si="0"/>
        <v>Construção e Reforma de Edifícios-DF</v>
      </c>
      <c r="E5" s="55">
        <v>5.8999999999999999E-3</v>
      </c>
      <c r="F5" s="55">
        <v>1.23E-2</v>
      </c>
      <c r="G5" s="55">
        <v>1.3899999999999999E-2</v>
      </c>
      <c r="I5" s="351" t="str">
        <f>DADOS!A29</f>
        <v>828702/2016</v>
      </c>
      <c r="J5" s="352"/>
      <c r="K5" s="353" t="str">
        <f>DADOS!A32</f>
        <v>PREFEITURA DE RODEIO</v>
      </c>
      <c r="L5" s="354"/>
      <c r="M5" s="354"/>
      <c r="N5" s="354"/>
      <c r="O5" s="354"/>
      <c r="P5" s="354"/>
      <c r="Q5" s="354"/>
      <c r="R5" s="355"/>
      <c r="S5" s="57"/>
    </row>
    <row r="6" spans="1:29" ht="6" customHeight="1" x14ac:dyDescent="0.2">
      <c r="A6" s="52" t="str">
        <f>A5</f>
        <v>Construção e Reforma de Edifícios</v>
      </c>
      <c r="B6" s="54" t="s">
        <v>165</v>
      </c>
      <c r="C6" s="52" t="str">
        <f t="shared" si="0"/>
        <v>Construção e Reforma de Edifícios-L</v>
      </c>
      <c r="E6" s="55">
        <v>6.1600000000000002E-2</v>
      </c>
      <c r="F6" s="55">
        <v>7.400000000000001E-2</v>
      </c>
      <c r="G6" s="55">
        <v>8.9600000000000013E-2</v>
      </c>
      <c r="I6" s="58"/>
      <c r="J6" s="58"/>
      <c r="K6" s="58"/>
      <c r="L6" s="58"/>
      <c r="M6" s="58"/>
      <c r="N6" s="58"/>
      <c r="O6" s="58"/>
      <c r="P6" s="58"/>
      <c r="Q6" s="58"/>
      <c r="R6" s="58"/>
    </row>
    <row r="7" spans="1:29" ht="13.5" customHeight="1" x14ac:dyDescent="0.2">
      <c r="A7" s="52" t="str">
        <f>A6</f>
        <v>Construção e Reforma de Edifícios</v>
      </c>
      <c r="B7" s="59" t="s">
        <v>33</v>
      </c>
      <c r="C7" s="52" t="str">
        <f t="shared" si="0"/>
        <v>Construção e Reforma de Edifícios-BDI PAD</v>
      </c>
      <c r="E7" s="55">
        <v>0.2034</v>
      </c>
      <c r="F7" s="55">
        <v>0.22120000000000001</v>
      </c>
      <c r="G7" s="55">
        <v>0.25</v>
      </c>
      <c r="I7" s="248" t="s">
        <v>0</v>
      </c>
      <c r="J7" s="249"/>
      <c r="K7" s="249"/>
      <c r="L7" s="249"/>
      <c r="M7" s="249"/>
      <c r="N7" s="249"/>
      <c r="O7" s="249"/>
      <c r="P7" s="249"/>
      <c r="Q7" s="249"/>
      <c r="R7" s="259"/>
    </row>
    <row r="8" spans="1:29" ht="24.75" customHeight="1" x14ac:dyDescent="0.2">
      <c r="A8" s="52" t="s">
        <v>34</v>
      </c>
      <c r="B8" s="54" t="s">
        <v>29</v>
      </c>
      <c r="C8" s="52" t="str">
        <f t="shared" si="0"/>
        <v>Construção de Praças Urbanas, Rodovias, Ferrovias e recapeamento e pavimentação de vias urbanas-AC</v>
      </c>
      <c r="E8" s="55">
        <v>3.7999999999999999E-2</v>
      </c>
      <c r="F8" s="55">
        <v>4.0099999999999997E-2</v>
      </c>
      <c r="G8" s="55">
        <v>4.6699999999999998E-2</v>
      </c>
      <c r="I8" s="356" t="str">
        <f>DADOS!P29</f>
        <v>PAVIMENTAÇÃO COM CALÇADA RUA GRACIOSO CONZATTI CENTRO RODEIO</v>
      </c>
      <c r="J8" s="356"/>
      <c r="K8" s="356"/>
      <c r="L8" s="356"/>
      <c r="M8" s="356"/>
      <c r="N8" s="356"/>
      <c r="O8" s="356"/>
      <c r="P8" s="356"/>
      <c r="Q8" s="356"/>
      <c r="R8" s="356"/>
    </row>
    <row r="9" spans="1:29" ht="6" customHeight="1" x14ac:dyDescent="0.2">
      <c r="A9" s="52" t="s">
        <v>34</v>
      </c>
      <c r="B9" s="54" t="s">
        <v>30</v>
      </c>
      <c r="C9" s="52" t="str">
        <f t="shared" si="0"/>
        <v>Construção de Praças Urbanas, Rodovias, Ferrovias e recapeamento e pavimentação de vias urbanas-SG</v>
      </c>
      <c r="E9" s="55">
        <v>3.2000000000000002E-3</v>
      </c>
      <c r="F9" s="55">
        <v>4.0000000000000001E-3</v>
      </c>
      <c r="G9" s="55">
        <v>7.4000000000000003E-3</v>
      </c>
      <c r="I9" s="58"/>
      <c r="J9" s="58"/>
      <c r="K9" s="58"/>
      <c r="L9" s="58"/>
      <c r="M9" s="58"/>
      <c r="N9" s="58"/>
      <c r="O9" s="58"/>
      <c r="P9" s="58"/>
      <c r="Q9" s="58"/>
      <c r="R9" s="58"/>
    </row>
    <row r="10" spans="1:29" x14ac:dyDescent="0.2">
      <c r="A10" s="52" t="s">
        <v>34</v>
      </c>
      <c r="B10" s="54" t="s">
        <v>31</v>
      </c>
      <c r="C10" s="52" t="str">
        <f t="shared" si="0"/>
        <v>Construção de Praças Urbanas, Rodovias, Ferrovias e recapeamento e pavimentação de vias urbanas-R</v>
      </c>
      <c r="E10" s="55">
        <v>5.0000000000000001E-3</v>
      </c>
      <c r="F10" s="55">
        <v>5.6000000000000008E-3</v>
      </c>
      <c r="G10" s="55">
        <v>9.7000000000000003E-3</v>
      </c>
      <c r="I10" s="248" t="s">
        <v>35</v>
      </c>
      <c r="J10" s="249"/>
      <c r="K10" s="249"/>
      <c r="L10" s="249"/>
      <c r="M10" s="249"/>
      <c r="N10" s="249"/>
      <c r="O10" s="249"/>
      <c r="P10" s="249"/>
      <c r="Q10" s="248" t="s">
        <v>13</v>
      </c>
      <c r="R10" s="259"/>
    </row>
    <row r="11" spans="1:29" x14ac:dyDescent="0.2">
      <c r="A11" s="52" t="s">
        <v>34</v>
      </c>
      <c r="B11" s="54" t="s">
        <v>32</v>
      </c>
      <c r="C11" s="52" t="str">
        <f t="shared" si="0"/>
        <v>Construção de Praças Urbanas, Rodovias, Ferrovias e recapeamento e pavimentação de vias urbanas-DF</v>
      </c>
      <c r="E11" s="55">
        <v>1.0200000000000001E-2</v>
      </c>
      <c r="F11" s="55">
        <v>1.11E-2</v>
      </c>
      <c r="G11" s="55">
        <v>1.21E-2</v>
      </c>
      <c r="I11" s="346" t="s">
        <v>34</v>
      </c>
      <c r="J11" s="347"/>
      <c r="K11" s="347"/>
      <c r="L11" s="347"/>
      <c r="M11" s="347"/>
      <c r="N11" s="347"/>
      <c r="O11" s="347"/>
      <c r="P11" s="348"/>
      <c r="Q11" s="349" t="str">
        <f>DADOS!$C$38</f>
        <v>Não</v>
      </c>
      <c r="R11" s="350"/>
    </row>
    <row r="12" spans="1:29" x14ac:dyDescent="0.2">
      <c r="A12" s="52" t="s">
        <v>34</v>
      </c>
      <c r="B12" s="54" t="s">
        <v>165</v>
      </c>
      <c r="C12" s="52" t="str">
        <f t="shared" si="0"/>
        <v>Construção de Praças Urbanas, Rodovias, Ferrovias e recapeamento e pavimentação de vias urbanas-L</v>
      </c>
      <c r="E12" s="55">
        <v>6.6400000000000001E-2</v>
      </c>
      <c r="F12" s="55">
        <v>7.2999999999999995E-2</v>
      </c>
      <c r="G12" s="55">
        <v>8.6899999999999991E-2</v>
      </c>
    </row>
    <row r="13" spans="1:29" ht="15" customHeight="1" x14ac:dyDescent="0.2">
      <c r="A13" s="52" t="s">
        <v>34</v>
      </c>
      <c r="B13" s="59" t="s">
        <v>33</v>
      </c>
      <c r="C13" s="52" t="str">
        <f t="shared" si="0"/>
        <v>Construção de Praças Urbanas, Rodovias, Ferrovias e recapeamento e pavimentação de vias urbanas-BDI PAD</v>
      </c>
      <c r="E13" s="55">
        <v>0.19600000000000001</v>
      </c>
      <c r="F13" s="55">
        <v>0.2097</v>
      </c>
      <c r="G13" s="55">
        <v>0.24230000000000002</v>
      </c>
      <c r="I13" s="361" t="s">
        <v>36</v>
      </c>
      <c r="J13" s="361"/>
      <c r="K13" s="361"/>
      <c r="L13" s="361"/>
      <c r="M13" s="361"/>
      <c r="N13" s="361"/>
      <c r="O13" s="361"/>
      <c r="P13" s="361"/>
      <c r="Q13" s="358">
        <v>1</v>
      </c>
      <c r="R13" s="358"/>
    </row>
    <row r="14" spans="1:29" ht="15" customHeight="1" x14ac:dyDescent="0.2">
      <c r="A14" s="52" t="s">
        <v>37</v>
      </c>
      <c r="B14" s="54" t="s">
        <v>29</v>
      </c>
      <c r="C14" s="52" t="str">
        <f t="shared" si="0"/>
        <v>Construção de Redes de Abastecimento de Água, Coleta de Esgoto-AC</v>
      </c>
      <c r="E14" s="55">
        <v>3.4300000000000004E-2</v>
      </c>
      <c r="F14" s="55">
        <v>4.9299999999999997E-2</v>
      </c>
      <c r="G14" s="55">
        <v>6.7099999999999993E-2</v>
      </c>
      <c r="I14" s="359" t="s">
        <v>38</v>
      </c>
      <c r="J14" s="359"/>
      <c r="K14" s="359"/>
      <c r="L14" s="359"/>
      <c r="M14" s="359"/>
      <c r="N14" s="359"/>
      <c r="O14" s="359"/>
      <c r="P14" s="359"/>
      <c r="Q14" s="358"/>
      <c r="R14" s="358"/>
    </row>
    <row r="15" spans="1:29" x14ac:dyDescent="0.2">
      <c r="A15" s="52" t="str">
        <f>A14</f>
        <v>Construção de Redes de Abastecimento de Água, Coleta de Esgoto</v>
      </c>
      <c r="B15" s="54" t="s">
        <v>30</v>
      </c>
      <c r="C15" s="52" t="str">
        <f t="shared" si="0"/>
        <v>Construção de Redes de Abastecimento de Água, Coleta de Esgoto-SG</v>
      </c>
      <c r="E15" s="55">
        <v>2.8000000000000004E-3</v>
      </c>
      <c r="F15" s="55">
        <v>4.8999999999999998E-3</v>
      </c>
      <c r="G15" s="55">
        <v>7.4999999999999997E-3</v>
      </c>
    </row>
    <row r="16" spans="1:29" ht="12.75" customHeight="1" x14ac:dyDescent="0.2">
      <c r="B16" s="54"/>
      <c r="E16" s="55"/>
      <c r="F16" s="55"/>
      <c r="G16" s="55"/>
      <c r="I16" s="360" t="s">
        <v>39</v>
      </c>
      <c r="J16" s="360"/>
      <c r="K16" s="360"/>
      <c r="L16" s="360"/>
      <c r="M16" s="360" t="s">
        <v>40</v>
      </c>
      <c r="N16" s="363" t="s">
        <v>41</v>
      </c>
      <c r="O16" s="363" t="s">
        <v>42</v>
      </c>
      <c r="P16" s="362" t="s">
        <v>43</v>
      </c>
      <c r="Q16" s="362" t="s">
        <v>44</v>
      </c>
      <c r="R16" s="340" t="s">
        <v>45</v>
      </c>
      <c r="T16" s="337" t="str">
        <f>IF(V27,"Para BDI fora do intervalo estatístico, deve ser apresentado Relatório Técnico Circunstanciado justificando a adoção do percentual de cada parcela do BDI.","")</f>
        <v/>
      </c>
      <c r="U16" s="337"/>
      <c r="V16" s="108"/>
      <c r="W16" s="108"/>
      <c r="X16" s="108"/>
      <c r="Y16" s="108"/>
      <c r="Z16" s="108"/>
      <c r="AA16" s="108"/>
      <c r="AB16" s="108"/>
      <c r="AC16" s="108"/>
    </row>
    <row r="17" spans="1:31" ht="15.75" customHeight="1" x14ac:dyDescent="0.2">
      <c r="A17" s="52" t="str">
        <f>A15</f>
        <v>Construção de Redes de Abastecimento de Água, Coleta de Esgoto</v>
      </c>
      <c r="B17" s="54" t="s">
        <v>31</v>
      </c>
      <c r="C17" s="52" t="str">
        <f t="shared" si="0"/>
        <v>Construção de Redes de Abastecimento de Água, Coleta de Esgoto-R</v>
      </c>
      <c r="E17" s="55">
        <v>0.01</v>
      </c>
      <c r="F17" s="55">
        <v>1.3899999999999999E-2</v>
      </c>
      <c r="G17" s="55">
        <v>1.7399999999999999E-2</v>
      </c>
      <c r="I17" s="360"/>
      <c r="J17" s="360"/>
      <c r="K17" s="360"/>
      <c r="L17" s="360"/>
      <c r="M17" s="360"/>
      <c r="N17" s="363"/>
      <c r="O17" s="363"/>
      <c r="P17" s="362"/>
      <c r="Q17" s="362"/>
      <c r="R17" s="340"/>
      <c r="T17" s="337"/>
      <c r="U17" s="337"/>
      <c r="V17" s="108"/>
      <c r="W17" s="108"/>
      <c r="X17" s="108"/>
      <c r="Y17" s="108"/>
      <c r="Z17" s="108"/>
      <c r="AA17" s="108"/>
      <c r="AB17" s="108"/>
      <c r="AC17" s="108"/>
    </row>
    <row r="18" spans="1:31" ht="26.25" customHeight="1" x14ac:dyDescent="0.2">
      <c r="A18" s="52" t="str">
        <f>A17</f>
        <v>Construção de Redes de Abastecimento de Água, Coleta de Esgoto</v>
      </c>
      <c r="B18" s="54" t="s">
        <v>32</v>
      </c>
      <c r="C18" s="52" t="str">
        <f t="shared" si="0"/>
        <v>Construção de Redes de Abastecimento de Água, Coleta de Esgoto-DF</v>
      </c>
      <c r="E18" s="55">
        <v>9.3999999999999986E-3</v>
      </c>
      <c r="F18" s="55">
        <v>9.8999999999999991E-3</v>
      </c>
      <c r="G18" s="55">
        <v>1.1699999999999999E-2</v>
      </c>
      <c r="I18" s="325" t="str">
        <f>IF($I$11=$A$59,"Encargos Sociais incidentes sobre a mão de obra","Administração Central")</f>
        <v>Administração Central</v>
      </c>
      <c r="J18" s="325"/>
      <c r="K18" s="325"/>
      <c r="L18" s="325"/>
      <c r="M18" s="60" t="str">
        <f>IF($I$11=$A$59,"K1","AC")</f>
        <v>AC</v>
      </c>
      <c r="N18" s="61">
        <v>1.6E-2</v>
      </c>
      <c r="O18" s="62" t="s">
        <v>46</v>
      </c>
      <c r="P18" s="63">
        <f>VLOOKUP(CONCATENATE(I$11,"-",M18),$C$2:$G$49,3,FALSE)</f>
        <v>3.7999999999999999E-2</v>
      </c>
      <c r="Q18" s="63">
        <f>VLOOKUP(CONCATENATE(I$11,"-",M18),$C$2:$G$49,4,FALSE)</f>
        <v>4.0099999999999997E-2</v>
      </c>
      <c r="R18" s="63">
        <f>VLOOKUP(CONCATENATE(I$11,"-",M18),$C$2:$G$49,5,FALSE)</f>
        <v>4.6699999999999998E-2</v>
      </c>
      <c r="T18" s="337"/>
      <c r="U18" s="337"/>
      <c r="V18" s="108"/>
      <c r="W18" s="108"/>
      <c r="X18" s="108"/>
      <c r="Y18" s="108"/>
      <c r="Z18" s="108"/>
      <c r="AA18" s="108"/>
      <c r="AB18" s="108"/>
      <c r="AC18" s="108"/>
    </row>
    <row r="19" spans="1:31" ht="26.25" customHeight="1" x14ac:dyDescent="0.2">
      <c r="A19" s="52" t="str">
        <f>A18</f>
        <v>Construção de Redes de Abastecimento de Água, Coleta de Esgoto</v>
      </c>
      <c r="B19" s="54" t="s">
        <v>165</v>
      </c>
      <c r="C19" s="52" t="str">
        <f t="shared" si="0"/>
        <v>Construção de Redes de Abastecimento de Água, Coleta de Esgoto-L</v>
      </c>
      <c r="E19" s="55">
        <v>6.7400000000000002E-2</v>
      </c>
      <c r="F19" s="55">
        <v>8.0399999999999985E-2</v>
      </c>
      <c r="G19" s="55">
        <v>9.4E-2</v>
      </c>
      <c r="I19" s="325" t="str">
        <f>IF($I$11=$A$59,"Administração Central da empresa ou consultoria - overhead","Seguro e Garantia")</f>
        <v>Seguro e Garantia</v>
      </c>
      <c r="J19" s="325"/>
      <c r="K19" s="325"/>
      <c r="L19" s="325"/>
      <c r="M19" s="60" t="str">
        <f>IF($I$11=$A$59,"K2","SG")</f>
        <v>SG</v>
      </c>
      <c r="N19" s="61">
        <v>3.2000000000000002E-3</v>
      </c>
      <c r="O19" s="62" t="s">
        <v>46</v>
      </c>
      <c r="P19" s="63">
        <f>VLOOKUP(CONCATENATE(I$11,"-",M19),$C$2:$G$49,3,FALSE)</f>
        <v>3.2000000000000002E-3</v>
      </c>
      <c r="Q19" s="63">
        <f>VLOOKUP(CONCATENATE(I$11,"-",M19),$C$2:$G$49,4,FALSE)</f>
        <v>4.0000000000000001E-3</v>
      </c>
      <c r="R19" s="63">
        <f>VLOOKUP(CONCATENATE(I$11,"-",M19),$C$2:$G$49,5,FALSE)</f>
        <v>7.4000000000000003E-3</v>
      </c>
      <c r="T19" s="337"/>
      <c r="U19" s="337"/>
      <c r="V19" s="108"/>
      <c r="W19" s="108"/>
      <c r="X19" s="108"/>
      <c r="Y19" s="108"/>
      <c r="Z19" s="108"/>
      <c r="AA19" s="108"/>
      <c r="AB19" s="108"/>
      <c r="AC19" s="108"/>
    </row>
    <row r="20" spans="1:31" ht="26.25" customHeight="1" x14ac:dyDescent="0.2">
      <c r="A20" s="52" t="str">
        <f>A19</f>
        <v>Construção de Redes de Abastecimento de Água, Coleta de Esgoto</v>
      </c>
      <c r="B20" s="59" t="s">
        <v>33</v>
      </c>
      <c r="C20" s="52" t="str">
        <f t="shared" si="0"/>
        <v>Construção de Redes de Abastecimento de Água, Coleta de Esgoto-BDI PAD</v>
      </c>
      <c r="E20" s="55">
        <v>0.20760000000000001</v>
      </c>
      <c r="F20" s="55">
        <v>0.24179999999999999</v>
      </c>
      <c r="G20" s="55">
        <v>0.26440000000000002</v>
      </c>
      <c r="I20" s="325" t="str">
        <f>IF($I$11=$A$59,"","Risco")</f>
        <v>Risco</v>
      </c>
      <c r="J20" s="325"/>
      <c r="K20" s="325"/>
      <c r="L20" s="325"/>
      <c r="M20" s="60" t="str">
        <f>IF($I$11=$A$59,"","R")</f>
        <v>R</v>
      </c>
      <c r="N20" s="61">
        <v>5.0000000000000001E-3</v>
      </c>
      <c r="O20" s="62" t="s">
        <v>46</v>
      </c>
      <c r="P20" s="63">
        <f>VLOOKUP(CONCATENATE(I$11,"-",M20),$C$2:$G$49,3,FALSE)</f>
        <v>5.0000000000000001E-3</v>
      </c>
      <c r="Q20" s="63">
        <f>VLOOKUP(CONCATENATE(I$11,"-",M20),$C$2:$G$49,4,FALSE)</f>
        <v>5.6000000000000008E-3</v>
      </c>
      <c r="R20" s="63">
        <f>VLOOKUP(CONCATENATE(I$11,"-",M20),$C$2:$G$49,5,FALSE)</f>
        <v>9.7000000000000003E-3</v>
      </c>
      <c r="T20" s="337"/>
      <c r="U20" s="337"/>
      <c r="V20" s="108"/>
      <c r="W20" s="108"/>
      <c r="X20" s="108"/>
      <c r="Y20" s="108"/>
      <c r="Z20" s="108"/>
      <c r="AA20" s="108"/>
      <c r="AB20" s="108"/>
      <c r="AC20" s="108"/>
    </row>
    <row r="21" spans="1:31" ht="26.25" customHeight="1" x14ac:dyDescent="0.2">
      <c r="A21" s="52" t="s">
        <v>47</v>
      </c>
      <c r="B21" s="54" t="s">
        <v>29</v>
      </c>
      <c r="C21" s="52" t="str">
        <f t="shared" si="0"/>
        <v>Construção e Manutenção de Estações e Redes de Distribuição de Energia Elétrica-AC</v>
      </c>
      <c r="E21" s="55">
        <v>5.2900000000000003E-2</v>
      </c>
      <c r="F21" s="55">
        <v>5.9200000000000003E-2</v>
      </c>
      <c r="G21" s="55">
        <v>7.9299999999999995E-2</v>
      </c>
      <c r="I21" s="325" t="str">
        <f>IF($I$11=$A$59,"","Despesas Financeiras")</f>
        <v>Despesas Financeiras</v>
      </c>
      <c r="J21" s="325"/>
      <c r="K21" s="325"/>
      <c r="L21" s="325"/>
      <c r="M21" s="60" t="str">
        <f>IF($I$11=$A$59,"","DF")</f>
        <v>DF</v>
      </c>
      <c r="N21" s="61">
        <v>1.0200000000000001E-2</v>
      </c>
      <c r="O21" s="62" t="s">
        <v>46</v>
      </c>
      <c r="P21" s="63">
        <f>VLOOKUP(CONCATENATE(I$11,"-",M21),$C$2:$G$49,3,FALSE)</f>
        <v>1.0200000000000001E-2</v>
      </c>
      <c r="Q21" s="63">
        <f>VLOOKUP(CONCATENATE(I$11,"-",M21),$C$2:$G$49,4,FALSE)</f>
        <v>1.11E-2</v>
      </c>
      <c r="R21" s="63">
        <f>VLOOKUP(CONCATENATE(I$11,"-",M21),$C$2:$G$49,5,FALSE)</f>
        <v>1.21E-2</v>
      </c>
      <c r="T21" s="337"/>
      <c r="U21" s="337"/>
    </row>
    <row r="22" spans="1:31" ht="26.25" customHeight="1" x14ac:dyDescent="0.2">
      <c r="A22" s="52" t="str">
        <f>A21</f>
        <v>Construção e Manutenção de Estações e Redes de Distribuição de Energia Elétrica</v>
      </c>
      <c r="B22" s="54" t="s">
        <v>30</v>
      </c>
      <c r="C22" s="52" t="str">
        <f t="shared" si="0"/>
        <v>Construção e Manutenção de Estações e Redes de Distribuição de Energia Elétrica-SG</v>
      </c>
      <c r="E22" s="55">
        <v>2.5000000000000001E-3</v>
      </c>
      <c r="F22" s="55">
        <v>5.1000000000000004E-3</v>
      </c>
      <c r="G22" s="55">
        <v>5.6000000000000008E-3</v>
      </c>
      <c r="I22" s="325" t="str">
        <f>IF($I$11=$A$59,"Margem bruta da empresa de consultoria","Lucro")</f>
        <v>Lucro</v>
      </c>
      <c r="J22" s="325"/>
      <c r="K22" s="325"/>
      <c r="L22" s="325"/>
      <c r="M22" s="60" t="str">
        <f>IF($I$11=$A$59,"K3","L")</f>
        <v>L</v>
      </c>
      <c r="N22" s="61">
        <v>6.6400000000000001E-2</v>
      </c>
      <c r="O22" s="62" t="s">
        <v>46</v>
      </c>
      <c r="P22" s="63">
        <f>VLOOKUP(CONCATENATE(I$11,"-",M22),$C$2:$G$49,3,FALSE)</f>
        <v>6.6400000000000001E-2</v>
      </c>
      <c r="Q22" s="63">
        <f>VLOOKUP(CONCATENATE(I$11,"-",M22),$C$2:$G$49,4,FALSE)</f>
        <v>7.2999999999999995E-2</v>
      </c>
      <c r="R22" s="63">
        <f>VLOOKUP(CONCATENATE(I$11,"-",M22),$C$2:$G$49,5,FALSE)</f>
        <v>8.6899999999999991E-2</v>
      </c>
      <c r="T22" s="337"/>
      <c r="U22" s="337"/>
    </row>
    <row r="23" spans="1:31" ht="26.25" customHeight="1" x14ac:dyDescent="0.2">
      <c r="A23" s="52" t="str">
        <f>A22</f>
        <v>Construção e Manutenção de Estações e Redes de Distribuição de Energia Elétrica</v>
      </c>
      <c r="B23" s="54" t="s">
        <v>31</v>
      </c>
      <c r="C23" s="52" t="str">
        <f t="shared" si="0"/>
        <v>Construção e Manutenção de Estações e Redes de Distribuição de Energia Elétrica-R</v>
      </c>
      <c r="E23" s="55">
        <v>0.01</v>
      </c>
      <c r="F23" s="55">
        <v>1.4800000000000001E-2</v>
      </c>
      <c r="G23" s="55">
        <v>1.9699999999999999E-2</v>
      </c>
      <c r="I23" s="339" t="s">
        <v>48</v>
      </c>
      <c r="J23" s="339"/>
      <c r="K23" s="339"/>
      <c r="L23" s="339"/>
      <c r="M23" s="60" t="s">
        <v>49</v>
      </c>
      <c r="N23" s="61">
        <v>0.1115</v>
      </c>
      <c r="O23" s="62" t="s">
        <v>46</v>
      </c>
      <c r="P23" s="63">
        <v>3.6499999999999998E-2</v>
      </c>
      <c r="Q23" s="63">
        <v>3.6499999999999998E-2</v>
      </c>
      <c r="R23" s="63">
        <v>3.6499999999999998E-2</v>
      </c>
      <c r="T23" s="337"/>
      <c r="U23" s="337"/>
    </row>
    <row r="24" spans="1:31" ht="26.25" customHeight="1" x14ac:dyDescent="0.2">
      <c r="A24" s="52" t="str">
        <f>A23</f>
        <v>Construção e Manutenção de Estações e Redes de Distribuição de Energia Elétrica</v>
      </c>
      <c r="B24" s="54" t="s">
        <v>32</v>
      </c>
      <c r="C24" s="52" t="str">
        <f t="shared" si="0"/>
        <v>Construção e Manutenção de Estações e Redes de Distribuição de Energia Elétrica-DF</v>
      </c>
      <c r="E24" s="55">
        <v>1.01E-2</v>
      </c>
      <c r="F24" s="55">
        <v>1.0700000000000001E-2</v>
      </c>
      <c r="G24" s="55">
        <v>1.11E-2</v>
      </c>
      <c r="I24" s="325" t="s">
        <v>50</v>
      </c>
      <c r="J24" s="325"/>
      <c r="K24" s="325"/>
      <c r="L24" s="325"/>
      <c r="M24" s="60" t="s">
        <v>51</v>
      </c>
      <c r="N24" s="63">
        <f>IF($I$11&lt;&gt;$A$58,Q14*Q13,0)</f>
        <v>0</v>
      </c>
      <c r="O24" s="62" t="s">
        <v>46</v>
      </c>
      <c r="P24" s="63">
        <v>0</v>
      </c>
      <c r="Q24" s="63">
        <v>2.5000000000000001E-2</v>
      </c>
      <c r="R24" s="63">
        <v>0.05</v>
      </c>
      <c r="T24" s="337"/>
      <c r="U24" s="337"/>
    </row>
    <row r="25" spans="1:31" ht="26.25" customHeight="1" x14ac:dyDescent="0.2">
      <c r="A25" s="52" t="str">
        <f>A24</f>
        <v>Construção e Manutenção de Estações e Redes de Distribuição de Energia Elétrica</v>
      </c>
      <c r="B25" s="54" t="s">
        <v>165</v>
      </c>
      <c r="C25" s="52" t="str">
        <f t="shared" si="0"/>
        <v>Construção e Manutenção de Estações e Redes de Distribuição de Energia Elétrica-L</v>
      </c>
      <c r="E25" s="55">
        <v>0.08</v>
      </c>
      <c r="F25" s="55">
        <v>8.3100000000000007E-2</v>
      </c>
      <c r="G25" s="55">
        <v>9.5100000000000004E-2</v>
      </c>
      <c r="I25" s="325" t="s">
        <v>117</v>
      </c>
      <c r="J25" s="325"/>
      <c r="K25" s="325"/>
      <c r="L25" s="325"/>
      <c r="M25" s="60" t="s">
        <v>52</v>
      </c>
      <c r="N25" s="63">
        <f>IF(AND($I$11&lt;&gt;$A$58,Q11="Sim"),4.5%,0%)</f>
        <v>0</v>
      </c>
      <c r="O25" s="62" t="str">
        <f>IF(AND(N25&gt;=P25, N25&lt;=R25), "OK", "Não OK")</f>
        <v>OK</v>
      </c>
      <c r="P25" s="64">
        <v>0</v>
      </c>
      <c r="Q25" s="64">
        <v>4.4999999999999998E-2</v>
      </c>
      <c r="R25" s="64">
        <v>4.4999999999999998E-2</v>
      </c>
    </row>
    <row r="26" spans="1:31" ht="30.75" customHeight="1" x14ac:dyDescent="0.25">
      <c r="A26" s="52" t="str">
        <f>A25</f>
        <v>Construção e Manutenção de Estações e Redes de Distribuição de Energia Elétrica</v>
      </c>
      <c r="B26" s="59" t="s">
        <v>33</v>
      </c>
      <c r="C26" s="52" t="str">
        <f t="shared" si="0"/>
        <v>Construção e Manutenção de Estações e Redes de Distribuição de Energia Elétrica-BDI PAD</v>
      </c>
      <c r="E26" s="55">
        <v>0.24</v>
      </c>
      <c r="F26" s="55">
        <v>0.25840000000000002</v>
      </c>
      <c r="G26" s="55">
        <v>0.27860000000000001</v>
      </c>
      <c r="I26" s="325" t="s">
        <v>53</v>
      </c>
      <c r="J26" s="325"/>
      <c r="K26" s="325"/>
      <c r="L26" s="325"/>
      <c r="M26" s="65" t="s">
        <v>33</v>
      </c>
      <c r="N26" s="63">
        <f>IF($I$11=$A$58,0,ROUND((((1+N18+N19+N20)*(1+N21)*(1+N22)/(1-(N23+N24)))-1),4))</f>
        <v>0.24179999999999999</v>
      </c>
      <c r="O26" s="106" t="str">
        <f>IF(OR($I$11=$A$59,$I$11=$A$58,AND(N26&gt;=P26, N26&lt;=R26)), "OK", "FORA DO INTERVALO")</f>
        <v>OK</v>
      </c>
      <c r="P26" s="63">
        <f>IF($I$11=$A$58,0,VLOOKUP(CONCATENATE($I$11,"-",$M26),$C$2:$G$49,3,FALSE))</f>
        <v>0.19600000000000001</v>
      </c>
      <c r="Q26" s="63">
        <f>IF($I$11=$A$58,0,VLOOKUP(CONCATENATE($I$11,"-",$M26),$C$2:$G$49,4,FALSE))</f>
        <v>0.2097</v>
      </c>
      <c r="R26" s="63">
        <f>IF($I$11=$A$58,0,VLOOKUP(CONCATENATE($I$11,"-",$M26),$C$2:$G$49,5,FALSE))</f>
        <v>0.24230000000000002</v>
      </c>
      <c r="T26" s="107"/>
      <c r="V26" s="108"/>
      <c r="W26" s="108"/>
      <c r="X26" s="108"/>
      <c r="Y26" s="108"/>
      <c r="Z26" s="108"/>
      <c r="AA26" s="108"/>
      <c r="AB26" s="108"/>
      <c r="AC26" s="108"/>
      <c r="AD26" s="108"/>
      <c r="AE26" s="108"/>
    </row>
    <row r="27" spans="1:31" ht="30" customHeight="1" x14ac:dyDescent="0.25">
      <c r="A27" s="52" t="s">
        <v>54</v>
      </c>
      <c r="B27" s="54" t="s">
        <v>29</v>
      </c>
      <c r="C27" s="52" t="str">
        <f t="shared" si="0"/>
        <v>Obras Portuárias, Marítimas e Fluviais-AC</v>
      </c>
      <c r="E27" s="55">
        <v>0.04</v>
      </c>
      <c r="F27" s="55">
        <v>5.5199999999999999E-2</v>
      </c>
      <c r="G27" s="55">
        <v>7.85E-2</v>
      </c>
      <c r="I27" s="326" t="s">
        <v>55</v>
      </c>
      <c r="J27" s="326"/>
      <c r="K27" s="326"/>
      <c r="L27" s="326"/>
      <c r="M27" s="66" t="s">
        <v>56</v>
      </c>
      <c r="N27" s="67">
        <f>IF($I$11=$A$58,0,ROUND((((1+N18+N19+N20)*(1+N21)*(1+N22)/(1-(N23+N24+N25)))-1),4))</f>
        <v>0.24179999999999999</v>
      </c>
      <c r="O27" s="110" t="str">
        <f>IF(Q11&lt;&gt;"Sim","",O26)</f>
        <v/>
      </c>
      <c r="P27" s="327"/>
      <c r="Q27" s="327"/>
      <c r="R27" s="327"/>
      <c r="T27" s="107"/>
      <c r="V27" s="111" t="b">
        <f>AND(COUNTA(N18:N23)=6,O26&lt;&gt;"ok",NOT(V29))</f>
        <v>0</v>
      </c>
      <c r="W27" s="52" t="s">
        <v>119</v>
      </c>
    </row>
    <row r="28" spans="1:31" ht="7.5" customHeight="1" x14ac:dyDescent="0.2">
      <c r="A28" s="52" t="str">
        <f>A27</f>
        <v>Obras Portuárias, Marítimas e Fluviais</v>
      </c>
      <c r="B28" s="54" t="s">
        <v>30</v>
      </c>
      <c r="C28" s="52" t="str">
        <f t="shared" si="0"/>
        <v>Obras Portuárias, Marítimas e Fluviais-SG</v>
      </c>
      <c r="E28" s="55">
        <v>8.1000000000000013E-3</v>
      </c>
      <c r="F28" s="55">
        <v>1.2199999999999999E-2</v>
      </c>
      <c r="G28" s="55">
        <v>1.9900000000000001E-2</v>
      </c>
      <c r="V28" s="111"/>
    </row>
    <row r="29" spans="1:31" ht="21.75" customHeight="1" x14ac:dyDescent="0.2">
      <c r="A29" s="52" t="str">
        <f>A28</f>
        <v>Obras Portuárias, Marítimas e Fluviais</v>
      </c>
      <c r="B29" s="54" t="s">
        <v>31</v>
      </c>
      <c r="C29" s="52" t="str">
        <f t="shared" si="0"/>
        <v>Obras Portuárias, Marítimas e Fluviais-R</v>
      </c>
      <c r="E29" s="55">
        <v>1.46E-2</v>
      </c>
      <c r="F29" s="55">
        <v>2.3199999999999998E-2</v>
      </c>
      <c r="G29" s="55">
        <v>3.1600000000000003E-2</v>
      </c>
      <c r="I29" s="109" t="str">
        <f>IF(V29,"X","")</f>
        <v/>
      </c>
      <c r="J29" s="324" t="s">
        <v>118</v>
      </c>
      <c r="K29" s="324"/>
      <c r="L29" s="324"/>
      <c r="M29" s="324"/>
      <c r="N29" s="324"/>
      <c r="O29" s="324"/>
      <c r="P29" s="324"/>
      <c r="Q29" s="324"/>
      <c r="R29" s="324"/>
      <c r="V29" s="111" t="b">
        <v>0</v>
      </c>
      <c r="W29" s="52" t="s">
        <v>120</v>
      </c>
    </row>
    <row r="30" spans="1:31" ht="7.5" customHeight="1" x14ac:dyDescent="0.2">
      <c r="B30" s="54"/>
      <c r="E30" s="55"/>
      <c r="F30" s="55"/>
      <c r="G30" s="55"/>
      <c r="V30" s="111"/>
    </row>
    <row r="31" spans="1:31" ht="18.75" customHeight="1" x14ac:dyDescent="0.2">
      <c r="B31" s="54"/>
      <c r="E31" s="55"/>
      <c r="F31" s="55"/>
      <c r="G31" s="55"/>
      <c r="I31" s="329" t="s">
        <v>61</v>
      </c>
      <c r="J31" s="329"/>
      <c r="K31" s="329"/>
      <c r="L31" s="329"/>
      <c r="M31" s="329"/>
      <c r="N31" s="329"/>
      <c r="O31" s="329"/>
      <c r="P31" s="329"/>
      <c r="Q31" s="329"/>
      <c r="R31" s="329"/>
    </row>
    <row r="32" spans="1:31" ht="30" customHeight="1" x14ac:dyDescent="0.25">
      <c r="A32" s="52" t="str">
        <f>A29</f>
        <v>Obras Portuárias, Marítimas e Fluviais</v>
      </c>
      <c r="B32" s="54" t="s">
        <v>32</v>
      </c>
      <c r="C32" s="52" t="str">
        <f t="shared" si="0"/>
        <v>Obras Portuárias, Marítimas e Fluviais-DF</v>
      </c>
      <c r="E32" s="55">
        <v>9.3999999999999986E-3</v>
      </c>
      <c r="F32" s="55">
        <v>1.0200000000000001E-2</v>
      </c>
      <c r="G32" s="55">
        <v>1.3300000000000001E-2</v>
      </c>
      <c r="I32" s="100"/>
      <c r="J32" s="100"/>
      <c r="K32" s="100"/>
      <c r="L32" s="345" t="str">
        <f>IF(Q11="Sim","BDI.DES =","BDI.PAD =")</f>
        <v>BDI.PAD =</v>
      </c>
      <c r="M32" s="343" t="str">
        <f>IF($I$11=$A$59,"(1+K1+K2)*(1+K3)","(1+AC + S + R + G)*(1 + DF)*(1+L)")</f>
        <v>(1+AC + S + R + G)*(1 + DF)*(1+L)</v>
      </c>
      <c r="N32" s="343"/>
      <c r="O32" s="343"/>
      <c r="P32" s="341" t="s">
        <v>109</v>
      </c>
      <c r="Q32" s="100"/>
      <c r="R32" s="100"/>
    </row>
    <row r="33" spans="1:18" ht="27" customHeight="1" x14ac:dyDescent="0.2">
      <c r="A33" s="52" t="str">
        <f>A32</f>
        <v>Obras Portuárias, Marítimas e Fluviais</v>
      </c>
      <c r="B33" s="54" t="s">
        <v>165</v>
      </c>
      <c r="C33" s="52" t="str">
        <f t="shared" si="0"/>
        <v>Obras Portuárias, Marítimas e Fluviais-L</v>
      </c>
      <c r="E33" s="55">
        <v>7.1399999999999991E-2</v>
      </c>
      <c r="F33" s="55">
        <v>8.4000000000000005E-2</v>
      </c>
      <c r="G33" s="55">
        <v>0.1043</v>
      </c>
      <c r="I33" s="100"/>
      <c r="J33" s="100"/>
      <c r="K33" s="100"/>
      <c r="L33" s="345"/>
      <c r="M33" s="344" t="str">
        <f>IF(Q11="Sim","(1-CP-ISS-CRPB)","(1-CP-ISS)")</f>
        <v>(1-CP-ISS)</v>
      </c>
      <c r="N33" s="344"/>
      <c r="O33" s="344"/>
      <c r="P33" s="342"/>
      <c r="Q33" s="100"/>
      <c r="R33" s="100"/>
    </row>
    <row r="34" spans="1:18" ht="7.5" customHeight="1" x14ac:dyDescent="0.2">
      <c r="A34" s="52" t="str">
        <f>A33</f>
        <v>Obras Portuárias, Marítimas e Fluviais</v>
      </c>
      <c r="B34" s="59" t="s">
        <v>33</v>
      </c>
      <c r="C34" s="52" t="str">
        <f t="shared" si="0"/>
        <v>Obras Portuárias, Marítimas e Fluviais-BDI PAD</v>
      </c>
      <c r="E34" s="55">
        <v>0.22800000000000001</v>
      </c>
      <c r="F34" s="55">
        <v>0.27479999999999999</v>
      </c>
      <c r="G34" s="55">
        <v>0.3095</v>
      </c>
      <c r="I34" s="73"/>
      <c r="J34" s="73"/>
      <c r="K34" s="73"/>
      <c r="L34" s="73"/>
      <c r="M34" s="73"/>
      <c r="N34" s="73"/>
      <c r="O34" s="73"/>
      <c r="P34" s="73"/>
      <c r="Q34" s="73"/>
      <c r="R34" s="73"/>
    </row>
    <row r="35" spans="1:18" ht="45" customHeight="1" x14ac:dyDescent="0.2">
      <c r="B35" s="59"/>
      <c r="E35" s="55"/>
      <c r="F35" s="55"/>
      <c r="G35" s="55"/>
      <c r="I35" s="330" t="str">
        <f>CONCATENATE("Declaro para os devidos fins que, conforme legislação tributária municipal, a base de cálculo para ",I11,", é de ",Q13*100,"%, com a respectiva alíquota de ",Q14*100,"%.")</f>
        <v>Declaro para os devidos fins que, conforme legislação tributária municipal, a base de cálculo para Construção de Praças Urbanas, Rodovias, Ferrovias e recapeamento e pavimentação de vias urbanas, é de 100%, com a respectiva alíquota de 0%.</v>
      </c>
      <c r="J35" s="330"/>
      <c r="K35" s="330"/>
      <c r="L35" s="330"/>
      <c r="M35" s="330"/>
      <c r="N35" s="330"/>
      <c r="O35" s="330"/>
      <c r="P35" s="330"/>
      <c r="Q35" s="330"/>
      <c r="R35" s="330"/>
    </row>
    <row r="36" spans="1:18" ht="11.25" customHeight="1" x14ac:dyDescent="0.2">
      <c r="B36" s="59"/>
      <c r="E36" s="55"/>
      <c r="F36" s="55"/>
      <c r="G36" s="55"/>
    </row>
    <row r="37" spans="1:18" ht="52.5" customHeight="1" x14ac:dyDescent="0.2">
      <c r="B37" s="59"/>
      <c r="E37" s="55"/>
      <c r="F37" s="55"/>
      <c r="G37" s="55"/>
      <c r="I37" s="330" t="str">
        <f>CONCATENATE("Declaro para os devidos fins que o regime de Contribuição Previdenciária sobre a Receita Bruta adotado para elaboração do orçamento foi ",IF(Q11="Sim","COM","SEM")," Desoneração, e que esta é a alternativa mais adequada para a Administração Pública.")</f>
        <v>Declaro para os devidos fins que o regime de Contribuição Previdenciária sobre a Receita Bruta adotado para elaboração do orçamento foi SEM Desoneração, e que esta é a alternativa mais adequada para a Administração Pública.</v>
      </c>
      <c r="J37" s="330"/>
      <c r="K37" s="330"/>
      <c r="L37" s="330"/>
      <c r="M37" s="330"/>
      <c r="N37" s="330"/>
      <c r="O37" s="330"/>
      <c r="P37" s="330"/>
      <c r="Q37" s="330"/>
      <c r="R37" s="330"/>
    </row>
    <row r="38" spans="1:18" ht="18" customHeight="1" x14ac:dyDescent="0.2">
      <c r="A38" s="52" t="s">
        <v>138</v>
      </c>
      <c r="B38" s="54" t="s">
        <v>29</v>
      </c>
      <c r="C38" s="52" t="str">
        <f t="shared" si="0"/>
        <v>Fornecimento de Materiais e Equipamentos (aquisição indireta - em conjunto com licitação de obras)-AC</v>
      </c>
      <c r="E38" s="55">
        <v>1.4999999999999999E-2</v>
      </c>
      <c r="F38" s="55">
        <v>3.4500000000000003E-2</v>
      </c>
      <c r="G38" s="55">
        <v>4.4900000000000002E-2</v>
      </c>
    </row>
    <row r="39" spans="1:18" x14ac:dyDescent="0.2">
      <c r="A39" s="52" t="str">
        <f>A38</f>
        <v>Fornecimento de Materiais e Equipamentos (aquisição indireta - em conjunto com licitação de obras)</v>
      </c>
      <c r="B39" s="54" t="s">
        <v>30</v>
      </c>
      <c r="C39" s="52" t="str">
        <f t="shared" si="0"/>
        <v>Fornecimento de Materiais e Equipamentos (aquisição indireta - em conjunto com licitação de obras)-SG</v>
      </c>
      <c r="E39" s="55">
        <v>3.0000000000000001E-3</v>
      </c>
      <c r="F39" s="55">
        <v>4.7999999999999996E-3</v>
      </c>
      <c r="G39" s="55">
        <v>8.199999999999999E-3</v>
      </c>
      <c r="I39" s="52" t="s">
        <v>21</v>
      </c>
    </row>
    <row r="40" spans="1:18" ht="42.75" customHeight="1" x14ac:dyDescent="0.2">
      <c r="A40" s="52" t="str">
        <f>A39</f>
        <v>Fornecimento de Materiais e Equipamentos (aquisição indireta - em conjunto com licitação de obras)</v>
      </c>
      <c r="B40" s="54" t="s">
        <v>31</v>
      </c>
      <c r="C40" s="52" t="str">
        <f t="shared" si="0"/>
        <v>Fornecimento de Materiais e Equipamentos (aquisição indireta - em conjunto com licitação de obras)-R</v>
      </c>
      <c r="E40" s="55">
        <v>5.6000000000000008E-3</v>
      </c>
      <c r="F40" s="55">
        <v>8.5000000000000006E-3</v>
      </c>
      <c r="G40" s="55">
        <v>8.8999999999999999E-3</v>
      </c>
      <c r="I40" s="332"/>
      <c r="J40" s="333"/>
      <c r="K40" s="333"/>
      <c r="L40" s="333"/>
      <c r="M40" s="333"/>
      <c r="N40" s="333"/>
      <c r="O40" s="333"/>
      <c r="P40" s="333"/>
      <c r="Q40" s="333"/>
      <c r="R40" s="334"/>
    </row>
    <row r="41" spans="1:18" ht="16.5" customHeight="1" x14ac:dyDescent="0.2">
      <c r="A41" s="52" t="str">
        <f>A40</f>
        <v>Fornecimento de Materiais e Equipamentos (aquisição indireta - em conjunto com licitação de obras)</v>
      </c>
      <c r="B41" s="54" t="s">
        <v>32</v>
      </c>
      <c r="C41" s="52" t="str">
        <f t="shared" si="0"/>
        <v>Fornecimento de Materiais e Equipamentos (aquisição indireta - em conjunto com licitação de obras)-DF</v>
      </c>
      <c r="E41" s="55">
        <v>8.5000000000000006E-3</v>
      </c>
      <c r="F41" s="55">
        <v>8.5000000000000006E-3</v>
      </c>
      <c r="G41" s="55">
        <v>1.11E-2</v>
      </c>
    </row>
    <row r="42" spans="1:18" x14ac:dyDescent="0.2">
      <c r="A42" s="52" t="str">
        <f>A41</f>
        <v>Fornecimento de Materiais e Equipamentos (aquisição indireta - em conjunto com licitação de obras)</v>
      </c>
      <c r="B42" s="54" t="s">
        <v>165</v>
      </c>
      <c r="C42" s="52" t="str">
        <f t="shared" si="0"/>
        <v>Fornecimento de Materiais e Equipamentos (aquisição indireta - em conjunto com licitação de obras)-L</v>
      </c>
      <c r="E42" s="55">
        <v>3.5000000000000003E-2</v>
      </c>
      <c r="F42" s="55">
        <v>5.1100000000000007E-2</v>
      </c>
      <c r="G42" s="55">
        <v>6.2199999999999998E-2</v>
      </c>
      <c r="I42" s="338" t="str">
        <f>PO!K42</f>
        <v>RODEIO SC</v>
      </c>
      <c r="J42" s="338"/>
      <c r="K42" s="338"/>
      <c r="L42" s="338"/>
      <c r="O42" s="331">
        <f ca="1">PO!K45</f>
        <v>43643</v>
      </c>
      <c r="P42" s="331"/>
      <c r="Q42" s="331"/>
      <c r="R42" s="331"/>
    </row>
    <row r="43" spans="1:18" ht="15" customHeight="1" x14ac:dyDescent="0.2">
      <c r="A43" s="52" t="str">
        <f>A42</f>
        <v>Fornecimento de Materiais e Equipamentos (aquisição indireta - em conjunto com licitação de obras)</v>
      </c>
      <c r="B43" s="59" t="s">
        <v>33</v>
      </c>
      <c r="C43" s="52" t="str">
        <f t="shared" si="0"/>
        <v>Fornecimento de Materiais e Equipamentos (aquisição indireta - em conjunto com licitação de obras)-BDI PAD</v>
      </c>
      <c r="E43" s="55">
        <v>0.111</v>
      </c>
      <c r="F43" s="55">
        <v>0.14019999999999999</v>
      </c>
      <c r="G43" s="55">
        <v>0.16800000000000001</v>
      </c>
      <c r="I43" s="357" t="s">
        <v>121</v>
      </c>
      <c r="J43" s="357"/>
      <c r="K43" s="357"/>
      <c r="L43" s="357"/>
      <c r="N43" s="68"/>
      <c r="O43" s="144" t="s">
        <v>122</v>
      </c>
      <c r="P43" s="145"/>
      <c r="Q43" s="145"/>
      <c r="R43" s="145"/>
    </row>
    <row r="44" spans="1:18" x14ac:dyDescent="0.2">
      <c r="A44" s="52" t="s">
        <v>59</v>
      </c>
      <c r="B44" s="54" t="s">
        <v>105</v>
      </c>
      <c r="C44" s="52" t="str">
        <f t="shared" si="0"/>
        <v>Estudos e Projetos, Planos e Gerenciamento e outros correlatos-K1</v>
      </c>
      <c r="E44" s="55" t="s">
        <v>46</v>
      </c>
      <c r="F44" s="55" t="s">
        <v>46</v>
      </c>
      <c r="G44" s="55" t="s">
        <v>46</v>
      </c>
    </row>
    <row r="45" spans="1:18" ht="30" customHeight="1" x14ac:dyDescent="0.2">
      <c r="A45" s="52" t="str">
        <f>A44</f>
        <v>Estudos e Projetos, Planos e Gerenciamento e outros correlatos</v>
      </c>
      <c r="B45" s="54" t="s">
        <v>106</v>
      </c>
      <c r="C45" s="52" t="str">
        <f t="shared" si="0"/>
        <v>Estudos e Projetos, Planos e Gerenciamento e outros correlatos-K2</v>
      </c>
      <c r="E45" s="55" t="s">
        <v>46</v>
      </c>
      <c r="F45" s="55">
        <v>0.2</v>
      </c>
      <c r="G45" s="55" t="s">
        <v>46</v>
      </c>
      <c r="I45" s="328"/>
      <c r="J45" s="328"/>
      <c r="K45" s="328"/>
      <c r="L45" s="328"/>
      <c r="M45" s="69"/>
      <c r="N45" s="69"/>
      <c r="O45" s="328"/>
      <c r="P45" s="328"/>
      <c r="Q45" s="328"/>
      <c r="R45" s="328"/>
    </row>
    <row r="46" spans="1:18" x14ac:dyDescent="0.2">
      <c r="A46" s="52" t="str">
        <f>A45</f>
        <v>Estudos e Projetos, Planos e Gerenciamento e outros correlatos</v>
      </c>
      <c r="B46" s="54" t="s">
        <v>107</v>
      </c>
      <c r="C46" s="52" t="str">
        <f t="shared" si="0"/>
        <v>Estudos e Projetos, Planos e Gerenciamento e outros correlatos-</v>
      </c>
      <c r="E46" s="55" t="s">
        <v>46</v>
      </c>
      <c r="F46" s="55" t="s">
        <v>46</v>
      </c>
      <c r="G46" s="55" t="s">
        <v>46</v>
      </c>
      <c r="I46" s="335" t="s">
        <v>57</v>
      </c>
      <c r="J46" s="335"/>
      <c r="K46" s="335"/>
      <c r="L46" s="335"/>
      <c r="M46" s="70"/>
      <c r="N46" s="70"/>
      <c r="O46" s="335" t="s">
        <v>58</v>
      </c>
      <c r="P46" s="335"/>
      <c r="Q46" s="335"/>
      <c r="R46" s="335"/>
    </row>
    <row r="47" spans="1:18" ht="14.25" x14ac:dyDescent="0.2">
      <c r="A47" s="52" t="str">
        <f>A46</f>
        <v>Estudos e Projetos, Planos e Gerenciamento e outros correlatos</v>
      </c>
      <c r="B47" s="54" t="s">
        <v>107</v>
      </c>
      <c r="C47" s="52" t="str">
        <f t="shared" si="0"/>
        <v>Estudos e Projetos, Planos e Gerenciamento e outros correlatos-</v>
      </c>
      <c r="E47" s="55" t="s">
        <v>46</v>
      </c>
      <c r="F47" s="55" t="s">
        <v>46</v>
      </c>
      <c r="G47" s="55" t="s">
        <v>46</v>
      </c>
      <c r="I47" s="29" t="s">
        <v>141</v>
      </c>
      <c r="J47" s="323" t="str">
        <f>DADOS!B54</f>
        <v>Jonas Ludovico Zermiani</v>
      </c>
      <c r="K47" s="323"/>
      <c r="L47" s="323"/>
      <c r="M47" s="71"/>
      <c r="N47" s="71"/>
      <c r="O47" s="29" t="s">
        <v>141</v>
      </c>
      <c r="P47" s="336"/>
      <c r="Q47" s="336"/>
      <c r="R47" s="336"/>
    </row>
    <row r="48" spans="1:18" ht="14.25" x14ac:dyDescent="0.2">
      <c r="A48" s="52" t="str">
        <f>A47</f>
        <v>Estudos e Projetos, Planos e Gerenciamento e outros correlatos</v>
      </c>
      <c r="B48" s="54" t="s">
        <v>108</v>
      </c>
      <c r="C48" s="52" t="str">
        <f t="shared" si="0"/>
        <v>Estudos e Projetos, Planos e Gerenciamento e outros correlatos-K3</v>
      </c>
      <c r="E48" s="55" t="s">
        <v>46</v>
      </c>
      <c r="F48" s="55">
        <v>0.12</v>
      </c>
      <c r="G48" s="55" t="s">
        <v>46</v>
      </c>
      <c r="I48" s="29" t="s">
        <v>17</v>
      </c>
      <c r="J48" s="323" t="str">
        <f>DADOS!B55</f>
        <v>Engº Civil</v>
      </c>
      <c r="K48" s="323"/>
      <c r="L48" s="323"/>
      <c r="M48" s="71"/>
      <c r="N48" s="71"/>
      <c r="O48" s="29" t="s">
        <v>60</v>
      </c>
      <c r="P48" s="336"/>
      <c r="Q48" s="336"/>
      <c r="R48" s="336"/>
    </row>
    <row r="49" spans="1:18" ht="14.25" x14ac:dyDescent="0.2">
      <c r="A49" s="52" t="str">
        <f>A48</f>
        <v>Estudos e Projetos, Planos e Gerenciamento e outros correlatos</v>
      </c>
      <c r="B49" s="59" t="s">
        <v>33</v>
      </c>
      <c r="C49" s="52" t="str">
        <f t="shared" si="0"/>
        <v>Estudos e Projetos, Planos e Gerenciamento e outros correlatos-BDI PAD</v>
      </c>
      <c r="E49" s="55" t="s">
        <v>46</v>
      </c>
      <c r="F49" s="55" t="s">
        <v>46</v>
      </c>
      <c r="G49" s="55" t="s">
        <v>46</v>
      </c>
      <c r="I49" s="29" t="str">
        <f>DADOS!A56</f>
        <v>CREA/CAU:</v>
      </c>
      <c r="J49" s="323" t="str">
        <f>DADOS!B56</f>
        <v>126.070-4</v>
      </c>
      <c r="K49" s="323"/>
      <c r="L49" s="323"/>
      <c r="M49" s="71"/>
      <c r="N49" s="71"/>
      <c r="O49" s="71"/>
      <c r="P49" s="71"/>
      <c r="Q49" s="71"/>
      <c r="R49" s="71"/>
    </row>
    <row r="50" spans="1:18" x14ac:dyDescent="0.2">
      <c r="I50" s="29" t="str">
        <f>DADOS!A57</f>
        <v>ART/RRT:</v>
      </c>
      <c r="J50" s="323" t="str">
        <f>DADOS!B57</f>
        <v>6859271-7</v>
      </c>
      <c r="K50" s="323"/>
      <c r="L50" s="323"/>
    </row>
    <row r="51" spans="1:18" x14ac:dyDescent="0.2"/>
    <row r="52" spans="1:18" hidden="1" x14ac:dyDescent="0.2">
      <c r="A52" s="52" t="s">
        <v>28</v>
      </c>
    </row>
    <row r="53" spans="1:18" hidden="1" x14ac:dyDescent="0.2">
      <c r="A53" s="52" t="s">
        <v>34</v>
      </c>
    </row>
    <row r="54" spans="1:18" hidden="1" x14ac:dyDescent="0.2">
      <c r="A54" s="52" t="s">
        <v>37</v>
      </c>
    </row>
    <row r="55" spans="1:18" hidden="1" x14ac:dyDescent="0.2">
      <c r="A55" s="52" t="s">
        <v>47</v>
      </c>
    </row>
    <row r="56" spans="1:18" hidden="1" x14ac:dyDescent="0.2">
      <c r="A56" s="52" t="s">
        <v>54</v>
      </c>
    </row>
    <row r="57" spans="1:18" hidden="1" x14ac:dyDescent="0.2">
      <c r="A57" s="52" t="s">
        <v>138</v>
      </c>
    </row>
    <row r="58" spans="1:18" hidden="1" x14ac:dyDescent="0.2">
      <c r="A58" s="52" t="s">
        <v>139</v>
      </c>
    </row>
    <row r="59" spans="1:18" hidden="1" x14ac:dyDescent="0.2">
      <c r="A59" s="52" t="s">
        <v>59</v>
      </c>
    </row>
    <row r="60" spans="1:18" ht="14.25" hidden="1" x14ac:dyDescent="0.2">
      <c r="A60" s="72"/>
      <c r="B60" s="71"/>
      <c r="C60" s="71"/>
      <c r="D60" s="71"/>
      <c r="E60" s="71"/>
      <c r="F60" s="71"/>
      <c r="G60" s="71"/>
    </row>
  </sheetData>
  <sheetProtection password="C95B" sheet="1" objects="1" scenarios="1"/>
  <mergeCells count="55">
    <mergeCell ref="P48:R48"/>
    <mergeCell ref="I45:L45"/>
    <mergeCell ref="I43:L43"/>
    <mergeCell ref="Q13:R13"/>
    <mergeCell ref="I14:P14"/>
    <mergeCell ref="Q14:R14"/>
    <mergeCell ref="M16:M17"/>
    <mergeCell ref="I13:P13"/>
    <mergeCell ref="P16:P17"/>
    <mergeCell ref="Q16:Q17"/>
    <mergeCell ref="N16:N17"/>
    <mergeCell ref="I16:L17"/>
    <mergeCell ref="O16:O17"/>
    <mergeCell ref="I11:P11"/>
    <mergeCell ref="Q11:R11"/>
    <mergeCell ref="I4:J4"/>
    <mergeCell ref="K4:R4"/>
    <mergeCell ref="I5:J5"/>
    <mergeCell ref="K5:R5"/>
    <mergeCell ref="I7:R7"/>
    <mergeCell ref="I8:R8"/>
    <mergeCell ref="I10:P10"/>
    <mergeCell ref="Q10:R10"/>
    <mergeCell ref="T16:U24"/>
    <mergeCell ref="I42:L42"/>
    <mergeCell ref="I18:L18"/>
    <mergeCell ref="I19:L19"/>
    <mergeCell ref="I20:L20"/>
    <mergeCell ref="I21:L21"/>
    <mergeCell ref="I22:L22"/>
    <mergeCell ref="I23:L23"/>
    <mergeCell ref="I24:L24"/>
    <mergeCell ref="I25:L25"/>
    <mergeCell ref="R16:R17"/>
    <mergeCell ref="I37:R37"/>
    <mergeCell ref="P32:P33"/>
    <mergeCell ref="M32:O32"/>
    <mergeCell ref="M33:O33"/>
    <mergeCell ref="L32:L33"/>
    <mergeCell ref="J50:L50"/>
    <mergeCell ref="J29:R29"/>
    <mergeCell ref="I26:L26"/>
    <mergeCell ref="I27:L27"/>
    <mergeCell ref="P27:R27"/>
    <mergeCell ref="O45:R45"/>
    <mergeCell ref="I31:R31"/>
    <mergeCell ref="I35:R35"/>
    <mergeCell ref="O42:R42"/>
    <mergeCell ref="J49:L49"/>
    <mergeCell ref="I40:R40"/>
    <mergeCell ref="I46:L46"/>
    <mergeCell ref="O46:R46"/>
    <mergeCell ref="J47:L47"/>
    <mergeCell ref="P47:R47"/>
    <mergeCell ref="J48:L48"/>
  </mergeCells>
  <phoneticPr fontId="43" type="noConversion"/>
  <conditionalFormatting sqref="O42">
    <cfRule type="expression" dxfId="219" priority="6" stopIfTrue="1">
      <formula>$O$42=""</formula>
    </cfRule>
  </conditionalFormatting>
  <conditionalFormatting sqref="O18:O27">
    <cfRule type="expression" dxfId="218" priority="11" stopIfTrue="1">
      <formula>AND(O18&lt;&gt;"OK",O18&lt;&gt;"-",O18&lt;&gt;"")</formula>
    </cfRule>
    <cfRule type="cellIs" dxfId="217" priority="12" stopIfTrue="1" operator="equal">
      <formula>"OK"</formula>
    </cfRule>
  </conditionalFormatting>
  <conditionalFormatting sqref="I26:N26">
    <cfRule type="expression" dxfId="216" priority="10" stopIfTrue="1">
      <formula>$Q$11="Não"</formula>
    </cfRule>
  </conditionalFormatting>
  <conditionalFormatting sqref="I27:N27">
    <cfRule type="expression" dxfId="215" priority="9" stopIfTrue="1">
      <formula>$Q$11="sim"</formula>
    </cfRule>
  </conditionalFormatting>
  <conditionalFormatting sqref="P27:R27">
    <cfRule type="expression" dxfId="214" priority="8" stopIfTrue="1">
      <formula>$Q$11="sim"</formula>
    </cfRule>
  </conditionalFormatting>
  <conditionalFormatting sqref="P47:R48">
    <cfRule type="expression" dxfId="213" priority="7" stopIfTrue="1">
      <formula>P47=""</formula>
    </cfRule>
  </conditionalFormatting>
  <conditionalFormatting sqref="I29:R29">
    <cfRule type="expression" dxfId="212" priority="3" stopIfTrue="1">
      <formula>AND(NOT($V$27),NOT($V$29))</formula>
    </cfRule>
  </conditionalFormatting>
  <conditionalFormatting sqref="P18:R26">
    <cfRule type="expression" dxfId="211" priority="2" stopIfTrue="1">
      <formula>$I$11=$A$58</formula>
    </cfRule>
  </conditionalFormatting>
  <dataValidations count="6">
    <dataValidation type="list" allowBlank="1" showInputMessage="1" showErrorMessage="1" sqref="I11:P11" xr:uid="{00000000-0002-0000-0100-000000000000}">
      <formula1>$A$52:$A$59</formula1>
    </dataValidation>
    <dataValidation operator="greaterThanOrEqual" allowBlank="1" showInputMessage="1" showErrorMessage="1" errorTitle="Erro de valores" error="Digite um valor igual a 0% ou 2%." sqref="N25" xr:uid="{00000000-0002-0000-0100-000001000000}"/>
    <dataValidation type="decimal" allowBlank="1" showInputMessage="1" showErrorMessage="1" errorTitle="Erro de valores" error="Digite um valor maior do que 0." sqref="N24" xr:uid="{00000000-0002-0000-0100-000002000000}">
      <formula1>0</formula1>
      <formula2>1</formula2>
    </dataValidation>
    <dataValidation type="decimal" allowBlank="1" showInputMessage="1" showErrorMessage="1" errorTitle="Valor não permitido" error="Digite um percentual entre 0% e 100%." promptTitle="Valores admissíveis:" prompt="Insira valores entre 0 e 100%." sqref="Q13:R13" xr:uid="{00000000-0002-0000-0100-000003000000}">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Q14:R14" xr:uid="{00000000-0002-0000-0100-000004000000}">
      <formula1>0</formula1>
    </dataValidation>
    <dataValidation type="decimal" allowBlank="1" showInputMessage="1" showErrorMessage="1" errorTitle="Erro de valores" error="Digite um valor entre 0% e 100%" sqref="N18:N23" xr:uid="{00000000-0002-0000-0100-000005000000}">
      <formula1>0</formula1>
      <formula2>1</formula2>
    </dataValidation>
  </dataValidations>
  <pageMargins left="0.78740157480314998" right="0.78740157480314998" top="0.78740157480314998" bottom="0.78740157480314998" header="0.59055118110236204" footer="0.59055118110236204"/>
  <pageSetup paperSize="9" scale="78" orientation="portrait" r:id="rId1"/>
  <headerFooter alignWithMargins="0">
    <oddHeader>&amp;C&amp;14I</oddHeader>
    <oddFooter>&amp;R&amp;P&amp;L27.476 v008   micro</oddFooter>
  </headerFooter>
  <ignoredErrors>
    <ignoredError sqref="V27" unlockedFormula="1"/>
    <ignoredError sqref="P3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tabColor rgb="FFFFFF00"/>
    <pageSetUpPr fitToPage="1"/>
  </sheetPr>
  <dimension ref="A1:AA46"/>
  <sheetViews>
    <sheetView showGridLines="0" view="pageBreakPreview" topLeftCell="J1" zoomScaleNormal="80" zoomScaleSheetLayoutView="100" workbookViewId="0">
      <pane ySplit="12" topLeftCell="A22" activePane="bottomLeft" state="frozen"/>
      <selection pane="bottomLeft" activeCell="Q30" sqref="Q30"/>
    </sheetView>
  </sheetViews>
  <sheetFormatPr defaultRowHeight="12.75" x14ac:dyDescent="0.2"/>
  <cols>
    <col min="1" max="2" width="6.7109375" hidden="1" customWidth="1"/>
    <col min="3" max="7" width="5.7109375" hidden="1" customWidth="1"/>
    <col min="8" max="9" width="6.7109375" hidden="1" customWidth="1"/>
    <col min="10" max="10" width="8.7109375" customWidth="1"/>
    <col min="11" max="11" width="12.7109375" customWidth="1"/>
    <col min="12" max="13" width="15.7109375" customWidth="1"/>
    <col min="14" max="14" width="80.7109375" customWidth="1"/>
    <col min="15" max="15" width="10.7109375" customWidth="1"/>
    <col min="16" max="17" width="15.7109375" customWidth="1"/>
    <col min="18" max="18" width="10.7109375" customWidth="1"/>
    <col min="19" max="21" width="15.7109375" customWidth="1"/>
    <col min="22" max="22" width="9.140625" hidden="1" customWidth="1"/>
    <col min="23" max="23" width="15.7109375" hidden="1" customWidth="1"/>
    <col min="24" max="24" width="20.7109375" hidden="1" customWidth="1"/>
    <col min="25" max="25" width="15.7109375" customWidth="1"/>
  </cols>
  <sheetData>
    <row r="1" spans="1:27" ht="12.95" customHeight="1" x14ac:dyDescent="0.2">
      <c r="A1" s="79"/>
      <c r="B1" s="79"/>
      <c r="D1" s="117"/>
      <c r="E1" s="118"/>
      <c r="F1" s="79"/>
      <c r="G1" s="79"/>
      <c r="H1" s="79"/>
      <c r="I1" s="79"/>
      <c r="J1" s="80"/>
      <c r="K1" s="79"/>
      <c r="L1" s="79"/>
      <c r="M1" s="79"/>
      <c r="N1" s="99" t="s">
        <v>168</v>
      </c>
      <c r="O1" s="79"/>
      <c r="P1" s="81"/>
      <c r="Q1" s="79"/>
      <c r="R1" s="79"/>
      <c r="S1" s="79"/>
      <c r="T1" s="77" t="s">
        <v>166</v>
      </c>
      <c r="U1" s="4"/>
      <c r="V1" s="4"/>
      <c r="W1" s="4"/>
      <c r="X1" s="4"/>
      <c r="Y1" s="4"/>
      <c r="Z1" s="4"/>
      <c r="AA1" s="4"/>
    </row>
    <row r="2" spans="1:27" ht="12.75" customHeight="1" x14ac:dyDescent="0.2">
      <c r="A2" s="4"/>
      <c r="B2" s="20" t="s">
        <v>158</v>
      </c>
      <c r="C2" s="20" t="s">
        <v>99</v>
      </c>
      <c r="D2" s="20" t="s">
        <v>100</v>
      </c>
      <c r="E2" s="20" t="s">
        <v>101</v>
      </c>
      <c r="F2" s="20" t="s">
        <v>102</v>
      </c>
      <c r="G2" s="20" t="s">
        <v>103</v>
      </c>
      <c r="H2" s="4"/>
      <c r="I2" s="4"/>
      <c r="J2" s="4"/>
      <c r="K2" s="4"/>
      <c r="L2" s="4"/>
      <c r="M2" s="4"/>
      <c r="N2" s="102" t="str">
        <f>CHOOSE(1+LOG(1+2*(TipoOrçamento="BASE")+4*(TipoOrçamento="LICITADO")+8*(TipoOrçamento="REPROGRAMADOAC")+16*(TipoOrçamento="REPROGRAMADONPL"),2),"nada","Orçamento Base para Licitação","Orçamento Licitado","Orçamento Licitado Reprogramado","Orçamento Base para Licitação - Reprogramado")</f>
        <v>Orçamento Base para Licitação</v>
      </c>
      <c r="O2" s="4"/>
      <c r="P2" s="4"/>
      <c r="Q2" s="4"/>
      <c r="R2" s="4"/>
      <c r="S2" s="4"/>
      <c r="T2" s="78" t="s">
        <v>167</v>
      </c>
      <c r="U2" s="4"/>
      <c r="V2" s="4"/>
      <c r="W2" s="364" t="s">
        <v>182</v>
      </c>
      <c r="X2" s="364"/>
      <c r="Y2" s="4"/>
      <c r="Z2" s="4"/>
      <c r="AA2" s="4"/>
    </row>
    <row r="3" spans="1:27" ht="12.75" customHeight="1" x14ac:dyDescent="0.2">
      <c r="A3" s="4"/>
      <c r="B3" s="4"/>
      <c r="D3" s="117"/>
      <c r="F3" s="5"/>
      <c r="G3" s="4"/>
      <c r="H3" s="4"/>
      <c r="I3" s="4"/>
      <c r="J3" s="4"/>
      <c r="K3" s="4"/>
      <c r="L3" s="4"/>
      <c r="M3" s="4"/>
      <c r="N3" s="131"/>
      <c r="O3" s="4"/>
      <c r="P3" s="4"/>
      <c r="Q3" s="4"/>
      <c r="R3" s="4"/>
      <c r="S3" s="4"/>
      <c r="T3" s="4"/>
      <c r="U3" s="4"/>
      <c r="V3" s="4"/>
      <c r="W3" s="211" t="s">
        <v>149</v>
      </c>
      <c r="X3" s="214" t="b">
        <v>1</v>
      </c>
      <c r="Y3" s="4"/>
      <c r="Z3" s="4"/>
      <c r="AA3" s="4"/>
    </row>
    <row r="4" spans="1:27" ht="24.95" customHeight="1" x14ac:dyDescent="0.2">
      <c r="A4" s="4" t="s">
        <v>127</v>
      </c>
      <c r="B4" s="4"/>
      <c r="D4" s="117"/>
      <c r="F4" s="5"/>
      <c r="G4" s="4"/>
      <c r="H4" s="4"/>
      <c r="I4" s="4"/>
      <c r="J4" s="4"/>
      <c r="K4" s="4"/>
      <c r="L4" s="4"/>
      <c r="M4" s="4"/>
      <c r="N4" s="4"/>
      <c r="O4" s="4"/>
      <c r="P4" s="4"/>
      <c r="Q4" s="4"/>
      <c r="R4" s="4"/>
      <c r="S4" s="4"/>
      <c r="T4" s="4"/>
      <c r="U4" s="153" t="s">
        <v>189</v>
      </c>
      <c r="W4" s="211" t="s">
        <v>183</v>
      </c>
      <c r="X4" s="214" t="b">
        <v>1</v>
      </c>
      <c r="Y4" s="4"/>
      <c r="Z4" s="4"/>
      <c r="AA4" s="4"/>
    </row>
    <row r="5" spans="1:27" ht="24.95" customHeight="1" x14ac:dyDescent="0.2">
      <c r="A5" s="9">
        <f>MAX($A$12:$A$31)</f>
        <v>1</v>
      </c>
      <c r="B5" s="4"/>
      <c r="D5" s="117"/>
      <c r="F5" s="5"/>
      <c r="G5" s="4"/>
      <c r="H5" s="4"/>
      <c r="I5" s="4"/>
      <c r="J5" s="4"/>
      <c r="K5" s="4"/>
      <c r="L5" s="4"/>
      <c r="M5" s="4"/>
      <c r="N5" s="4"/>
      <c r="O5" s="4"/>
      <c r="P5" s="4"/>
      <c r="Q5" s="4"/>
      <c r="R5" s="4"/>
      <c r="S5" s="4"/>
      <c r="T5" s="4"/>
      <c r="U5" s="119" t="str">
        <f ca="1">IF(COUNTIF($U$12:OFFSET($U$31,-1,0),"DESCRIÇÃO")+COUNTIF($U$12:OFFSET($U$31,-1,0),"UNIDADE")+COUNTIF($U$12:OFFSET($U$31,-1,0),"SEM VALOR")&gt;0,"NÃO OK","OK")</f>
        <v>OK</v>
      </c>
      <c r="V5" s="212" t="s">
        <v>107</v>
      </c>
      <c r="W5" s="211" t="s">
        <v>184</v>
      </c>
      <c r="X5" s="214" t="b">
        <v>1</v>
      </c>
      <c r="Y5" s="4"/>
      <c r="Z5" s="4"/>
      <c r="AA5" s="4"/>
    </row>
    <row r="6" spans="1:27" ht="24.95" customHeight="1" x14ac:dyDescent="0.2">
      <c r="A6" s="4"/>
      <c r="B6" s="4"/>
      <c r="D6" s="117"/>
      <c r="F6" s="5"/>
      <c r="G6" s="4"/>
      <c r="H6" s="4"/>
      <c r="I6" s="4"/>
      <c r="J6" s="4"/>
      <c r="K6" s="82"/>
      <c r="L6" s="4"/>
      <c r="M6" s="4"/>
      <c r="N6" s="4"/>
      <c r="O6" s="4"/>
      <c r="P6" s="4"/>
      <c r="Q6" s="4"/>
      <c r="R6" s="4"/>
      <c r="S6" s="4"/>
      <c r="T6" s="4"/>
      <c r="U6" s="4"/>
      <c r="V6" s="4"/>
      <c r="W6" s="211" t="s">
        <v>185</v>
      </c>
      <c r="X6" s="214" t="b">
        <v>1</v>
      </c>
      <c r="Y6" s="4"/>
      <c r="Z6" s="4"/>
      <c r="AA6" s="4"/>
    </row>
    <row r="7" spans="1:27" ht="24.95" customHeight="1" x14ac:dyDescent="0.2">
      <c r="A7" s="4"/>
      <c r="B7" s="4"/>
      <c r="C7" s="20"/>
      <c r="D7" s="117"/>
      <c r="E7" s="5"/>
      <c r="F7" s="5"/>
      <c r="G7" s="4"/>
      <c r="H7" s="4"/>
      <c r="I7" s="4"/>
      <c r="J7" s="4"/>
      <c r="K7" s="82"/>
      <c r="L7" s="4"/>
      <c r="M7" s="4"/>
      <c r="N7" s="4"/>
      <c r="O7" s="4"/>
      <c r="P7" s="4"/>
      <c r="Q7" s="4"/>
      <c r="R7" s="4"/>
      <c r="S7" s="4"/>
      <c r="T7" s="4"/>
      <c r="U7" s="4"/>
      <c r="V7" s="4"/>
      <c r="W7" s="211" t="s">
        <v>186</v>
      </c>
      <c r="X7" s="214" t="b">
        <v>1</v>
      </c>
      <c r="Y7" s="4"/>
      <c r="Z7" s="4"/>
      <c r="AA7" s="4"/>
    </row>
    <row r="8" spans="1:27" ht="30" customHeight="1" x14ac:dyDescent="0.2">
      <c r="A8" s="4"/>
      <c r="B8" s="4"/>
      <c r="C8" s="20"/>
      <c r="D8" s="20"/>
      <c r="E8" s="5"/>
      <c r="F8" s="5"/>
      <c r="G8" s="4"/>
      <c r="H8" s="4"/>
      <c r="I8" s="4"/>
      <c r="J8" s="4"/>
      <c r="K8" s="4"/>
      <c r="L8" s="4"/>
      <c r="M8" s="4"/>
      <c r="N8" s="4"/>
      <c r="O8" s="4"/>
      <c r="P8" s="4"/>
      <c r="Q8" s="4"/>
      <c r="R8" s="4"/>
      <c r="S8" s="4"/>
      <c r="T8" s="4"/>
      <c r="U8" s="4"/>
      <c r="V8" s="4"/>
      <c r="W8" s="4"/>
      <c r="X8" s="4"/>
      <c r="Y8" s="4"/>
      <c r="Z8" s="4"/>
      <c r="AA8" s="4"/>
    </row>
    <row r="9" spans="1:27" ht="12.75" hidden="1" customHeight="1" x14ac:dyDescent="0.2">
      <c r="A9" s="4"/>
      <c r="B9" s="4"/>
      <c r="C9" s="20"/>
      <c r="D9" s="20"/>
      <c r="E9" s="5"/>
      <c r="F9" s="5"/>
      <c r="G9" s="4"/>
      <c r="H9" s="4"/>
      <c r="I9" s="4"/>
      <c r="J9" s="4"/>
      <c r="K9" s="4"/>
      <c r="L9" s="4"/>
      <c r="M9" s="4"/>
      <c r="N9" s="4"/>
      <c r="O9" s="4"/>
      <c r="P9" s="224" t="str">
        <f ca="1">OFFSET(PLQ!$E$12,ROW($P9)-ROW(P$12),0)</f>
        <v>-</v>
      </c>
      <c r="Q9" s="4"/>
      <c r="R9" s="4"/>
      <c r="S9" s="4"/>
      <c r="T9" s="4"/>
      <c r="U9" s="4"/>
      <c r="V9" s="4"/>
      <c r="W9" s="4"/>
      <c r="X9" s="4"/>
      <c r="Y9" s="4"/>
      <c r="Z9" s="4"/>
      <c r="AA9" s="4"/>
    </row>
    <row r="10" spans="1:27" ht="30" customHeight="1" x14ac:dyDescent="0.2">
      <c r="A10" s="74" t="s">
        <v>3</v>
      </c>
      <c r="B10" s="74" t="s">
        <v>124</v>
      </c>
      <c r="C10" s="74" t="s">
        <v>153</v>
      </c>
      <c r="D10" s="74" t="s">
        <v>154</v>
      </c>
      <c r="E10" s="74" t="s">
        <v>155</v>
      </c>
      <c r="F10" s="74" t="s">
        <v>156</v>
      </c>
      <c r="G10" s="74" t="s">
        <v>157</v>
      </c>
      <c r="H10" s="74" t="s">
        <v>125</v>
      </c>
      <c r="I10" s="74" t="s">
        <v>126</v>
      </c>
      <c r="J10" s="74" t="s">
        <v>3</v>
      </c>
      <c r="K10" s="74" t="s">
        <v>148</v>
      </c>
      <c r="L10" s="74" t="s">
        <v>147</v>
      </c>
      <c r="M10" s="74" t="s">
        <v>4</v>
      </c>
      <c r="N10" s="74" t="s">
        <v>143</v>
      </c>
      <c r="O10" s="75" t="s">
        <v>150</v>
      </c>
      <c r="P10" s="74" t="s">
        <v>149</v>
      </c>
      <c r="Q10" s="74" t="str">
        <f>IF(OR(TipoOrçamento="LICITADO",TipoOrçamento="REPROGRAMADOAC"),"Preço Unitário (R$)","Custo Unitário (R$)")</f>
        <v>Custo Unitário (R$)</v>
      </c>
      <c r="R10" s="74" t="s">
        <v>5</v>
      </c>
      <c r="S10" s="74" t="s">
        <v>152</v>
      </c>
      <c r="T10" s="74" t="s">
        <v>6</v>
      </c>
      <c r="U10" s="74" t="s">
        <v>160</v>
      </c>
      <c r="V10" s="116" t="s">
        <v>162</v>
      </c>
      <c r="W10" s="116" t="s">
        <v>123</v>
      </c>
      <c r="X10" s="116" t="s">
        <v>131</v>
      </c>
      <c r="Y10" s="115" t="str">
        <f>IF(TipoOrçamento="LICITADO","Preço Unitário Edital (R$)","Custo Unitário Referência (R$)")</f>
        <v>Custo Unitário Referência (R$)</v>
      </c>
      <c r="Z10" s="147" t="str">
        <f>IF(TipoOrçamento="LICITADO","Valor BDI Edital","Valor BDI")</f>
        <v>Valor BDI</v>
      </c>
      <c r="AA10" s="4"/>
    </row>
    <row r="11" spans="1:27" hidden="1" x14ac:dyDescent="0.2">
      <c r="A11" t="str">
        <f>CHOOSE(1+LOG(1+2*(J11="Meta")+4*(J11="Nível 2")+8*(J11="Nível 3")+16*(J11="Nível 4")+32*(J11="Serviço"),2),0,1,2,3,4,"S")</f>
        <v>S</v>
      </c>
      <c r="B11">
        <f>IF(OR(A11="S",A11=0),0,IF(ISERROR(I11),H11,SMALL(H11:I11,1)))</f>
        <v>0</v>
      </c>
      <c r="C11" t="str">
        <f ca="1">IF($A11=1,OFFSET(C11,-1,0)+1,OFFSET(C11,-1,0))</f>
        <v>n1</v>
      </c>
      <c r="D11" t="str">
        <f ca="1">IF($A11=1,0,IF($A11=2,OFFSET(D11,-1,0)+1,OFFSET(D11,-1,0)))</f>
        <v>n2</v>
      </c>
      <c r="E11" t="str">
        <f ca="1">IF(AND($A11&lt;=2,$A11&lt;&gt;0),0,IF($A11=3,OFFSET(E11,-1,0)+1,OFFSET(E11,-1,0)))</f>
        <v>n3</v>
      </c>
      <c r="F11" t="str">
        <f ca="1">IF(AND($A11&lt;=3,$A11&lt;&gt;0),0,IF($A11=4,OFFSET(F11,-1,0)+1,OFFSET(F11,-1,0)))</f>
        <v>n4</v>
      </c>
      <c r="G11" t="e">
        <f ca="1">IF(AND($A11&lt;=4,$A11&lt;&gt;0),0,IF($A11="S",OFFSET(G11,-1,0)+1,OFFSET(G11,-1,0)))</f>
        <v>#VALUE!</v>
      </c>
      <c r="H11">
        <f ca="1">IF(OR($A11="S",$A11=0),0,MATCH(0,OFFSET($B11,1,$A11,ROW($A$31)-ROW($A11)),0))</f>
        <v>0</v>
      </c>
      <c r="I11">
        <f ca="1">IF(OR($A11="S",$A11=0),0,MATCH(OFFSET($B11,0,$A11)+1,OFFSET($B11,1,$A11,ROW($A$31)-ROW($A11)),0))</f>
        <v>0</v>
      </c>
      <c r="J11" s="120" t="s">
        <v>103</v>
      </c>
      <c r="K11" s="162" t="e">
        <f ca="1">IF($A11=0,"-",CONCATENATE(C11&amp;".",IF(AND($A$5&gt;=2,$A11&gt;=2),D11&amp;".",""),IF(AND($A$5&gt;=3,$A11&gt;=3),E11&amp;".",""),IF(AND($A$5&gt;=4,$A11&gt;=4),F11&amp;".",""),IF($A11="S",G11&amp;".","")))</f>
        <v>#VALUE!</v>
      </c>
      <c r="L11" s="209"/>
      <c r="M11" s="209"/>
      <c r="N11" s="231" t="str">
        <f ca="1">IF($A11="S",Referencia.Descricao,"(digite a descrição aqui)")</f>
        <v/>
      </c>
      <c r="O11" s="230" t="str">
        <f ca="1">Referencia.Unidade</f>
        <v/>
      </c>
      <c r="P11" s="225">
        <f ca="1">OFFSET(PLQ!$E$12,ROW($P11)-ROW(P$12),0)</f>
        <v>0</v>
      </c>
      <c r="Q11" s="229"/>
      <c r="R11" s="232" t="s">
        <v>7</v>
      </c>
      <c r="S11" s="121">
        <f ca="1">IF($A11="S",IF($Q$10="Preço Unitário (R$)",PO.CustoUnitario,ROUND(PO.CustoUnitario*(1+$Z11),15-13*$X$6)),0)</f>
        <v>0</v>
      </c>
      <c r="T11" s="98">
        <f ca="1">IF($A11="S",VTOTAL1,IF($A11=0,0,ROUND(SomaAgrup,15-13*$X$7)))</f>
        <v>0</v>
      </c>
      <c r="U11" s="13" t="str">
        <f ca="1">IF($J11="","",IF($N11="","DESCRIÇÃO",IF(AND($J11="Serviço",$O11=""),"UNIDADE",IF($T11&lt;=0,"SEM VALOR",IF(AND($Y11&lt;&gt;"",$Q11&gt;$Y11),"ACIMA REF.","")))))</f>
        <v>DESCRIÇÃO</v>
      </c>
      <c r="V11" s="4" t="str">
        <f ca="1">IF(OR($A11=0,$A11="S",$A11&gt;CFF!$A$9),"",MAX(V$12:OFFSET(V11,-1,0))+1)</f>
        <v/>
      </c>
      <c r="W11" s="9" t="b">
        <f>IF(AND($J11="Serviço",$M11&lt;&gt;""),IF($L11="",$M11,CONCATENATE($L11,"-",$M11)))</f>
        <v>0</v>
      </c>
      <c r="X11" s="4" t="str">
        <f ca="1">IF(AND(Fonte&lt;&gt;"",Código&lt;&gt;""),MATCH(Fonte&amp;" "&amp;IF(Fonte="sinapi",SUBSTITUTE(SUBSTITUTE(Código,"/00","/"),"/0","/"),Código),INDIRECT("'[Referência "&amp;_xlnm.Database&amp;".xls]Banco'!$a:$a"),0),"X")</f>
        <v>X</v>
      </c>
      <c r="Y11" s="121">
        <f ca="1">IF(Import.Desoneracao="sim",Referencia.Desonerado,Referencia.NaoDesonerado)</f>
        <v>0</v>
      </c>
      <c r="Z11" s="132">
        <f ca="1">ROUND(IF(ISNUMBER(R11),R11,IF(LEFT(R11,3)="BDI",HLOOKUP(R11,DADOS!$T$37:$X$38,2,FALSE),0)),15-11*$X$5)</f>
        <v>0.24179999999999999</v>
      </c>
      <c r="AA11" s="4"/>
    </row>
    <row r="12" spans="1:27" x14ac:dyDescent="0.2">
      <c r="A12">
        <v>0</v>
      </c>
      <c r="B12">
        <f ca="1">COUNTA(OFFSET(B12,1,0):B$31)</f>
        <v>18</v>
      </c>
      <c r="J12" s="76" t="str">
        <f>IF(OR(TipoOrçamento="LICITADO",TipoOrçamento="REPROGRAMADOAC"),"CTEF","LOTE")</f>
        <v>LOTE</v>
      </c>
      <c r="K12" s="163">
        <v>0</v>
      </c>
      <c r="L12" s="10"/>
      <c r="M12" s="10"/>
      <c r="N12" s="87" t="str">
        <f>IF(TipoOrçamento="LICITADO",DADOS!O43,DADOS!G38)</f>
        <v>RUA GRACIOSO ONZATTI</v>
      </c>
      <c r="O12" s="10"/>
      <c r="P12" s="11"/>
      <c r="Q12" s="11"/>
      <c r="R12" s="12"/>
      <c r="S12" s="11"/>
      <c r="T12" s="97">
        <f ca="1">SUMIF(OFFSET($J12,1,0,ROW(T31)-ROW(T12)-1),"Serviço",OFFSET(T12,1,0,ROW(T31)-ROW(T12)-1))</f>
        <v>233446.87999999995</v>
      </c>
      <c r="U12" s="13" t="str">
        <f>IF($N12=0,"DESCRIÇÃO","")</f>
        <v/>
      </c>
      <c r="V12" s="4">
        <v>0</v>
      </c>
      <c r="W12" s="4"/>
      <c r="X12" s="4"/>
      <c r="Y12" s="11"/>
      <c r="Z12" s="133"/>
      <c r="AA12" s="4"/>
    </row>
    <row r="13" spans="1:27" x14ac:dyDescent="0.2">
      <c r="A13">
        <f t="shared" ref="A13:A30" si="0">CHOOSE(1+LOG(1+2*(J13="Meta")+4*(J13="Nível 2")+8*(J13="Nível 3")+16*(J13="Nível 4")+32*(J13="Serviço"),2),0,1,2,3,4,"S")</f>
        <v>1</v>
      </c>
      <c r="B13">
        <f t="shared" ref="B13:B30" ca="1" si="1">IF(OR(A13="S",A13=0),0,IF(ISERROR(I13),H13,SMALL(H13:I13,1)))</f>
        <v>18</v>
      </c>
      <c r="C13">
        <f t="shared" ref="C13:C30" ca="1" si="2">IF($A13=1,OFFSET(C13,-1,0)+1,OFFSET(C13,-1,0))</f>
        <v>1</v>
      </c>
      <c r="D13">
        <f t="shared" ref="D13:D30" ca="1" si="3">IF($A13=1,0,IF($A13=2,OFFSET(D13,-1,0)+1,OFFSET(D13,-1,0)))</f>
        <v>0</v>
      </c>
      <c r="E13">
        <f t="shared" ref="E13:E30" ca="1" si="4">IF(AND($A13&lt;=2,$A13&lt;&gt;0),0,IF($A13=3,OFFSET(E13,-1,0)+1,OFFSET(E13,-1,0)))</f>
        <v>0</v>
      </c>
      <c r="F13">
        <f t="shared" ref="F13:F30" ca="1" si="5">IF(AND($A13&lt;=3,$A13&lt;&gt;0),0,IF($A13=4,OFFSET(F13,-1,0)+1,OFFSET(F13,-1,0)))</f>
        <v>0</v>
      </c>
      <c r="G13">
        <f t="shared" ref="G13:G30" ca="1" si="6">IF(AND($A13&lt;=4,$A13&lt;&gt;0),0,IF($A13="S",OFFSET(G13,-1,0)+1,OFFSET(G13,-1,0)))</f>
        <v>0</v>
      </c>
      <c r="H13">
        <f ca="1">IF(OR($A13="S",$A13=0),0,MATCH(0,OFFSET($B13,1,$A13,ROW($A$31)-ROW($A13)),0))</f>
        <v>18</v>
      </c>
      <c r="I13" t="e">
        <f ca="1">IF(OR($A13="S",$A13=0),0,MATCH(OFFSET($B13,0,$A13)+1,OFFSET($B13,1,$A13,ROW($A$31)-ROW($A13)),0))</f>
        <v>#N/A</v>
      </c>
      <c r="J13" s="164" t="s">
        <v>99</v>
      </c>
      <c r="K13" s="162" t="str">
        <f t="shared" ref="K13:K30" ca="1" si="7">IF($A13=0,"-",CONCATENATE(C13&amp;".",IF(AND($A$5&gt;=2,$A13&gt;=2),D13&amp;".",""),IF(AND($A$5&gt;=3,$A13&gt;=3),E13&amp;".",""),IF(AND($A$5&gt;=4,$A13&gt;=4),F13&amp;".",""),IF($A13="S",G13&amp;".","")))</f>
        <v>1.</v>
      </c>
      <c r="L13" s="209"/>
      <c r="M13" s="209"/>
      <c r="N13" s="231" t="str">
        <f t="shared" ref="N13" si="8">IF($A13="S",Referencia.Descricao,"(digite a descrição aqui)")</f>
        <v>(digite a descrição aqui)</v>
      </c>
      <c r="O13" s="230" t="s">
        <v>107</v>
      </c>
      <c r="P13" s="225">
        <f ca="1">OFFSET(PLQ!$E$12,ROW($P13)-ROW(P$12),0)</f>
        <v>0</v>
      </c>
      <c r="Q13" s="229"/>
      <c r="R13" s="232" t="s">
        <v>7</v>
      </c>
      <c r="S13" s="121">
        <f t="shared" ref="S13:S30" si="9">IF($A13="S",IF($Q$10="Preço Unitário (R$)",PO.CustoUnitario,ROUND(PO.CustoUnitario*(1+$Z13),15-13*$X$6)),0)</f>
        <v>0</v>
      </c>
      <c r="T13" s="98">
        <f t="shared" ref="T13:T30" ca="1" si="10">IF($A13="S",VTOTAL1,IF($A13=0,0,ROUND(SomaAgrup,15-13*$X$7)))</f>
        <v>233446.88</v>
      </c>
      <c r="U13" s="13" t="str">
        <f t="shared" ref="U13:U30" ca="1" si="11">IF($J13="","",IF($N13="","DESCRIÇÃO",IF(AND($J13="Serviço",$O13=""),"UNIDADE",IF($T13&lt;=0,"SEM VALOR",IF(AND($Y13&lt;&gt;"",$Q13&gt;$Y13),"ACIMA REF.","")))))</f>
        <v/>
      </c>
      <c r="V13" s="4">
        <f ca="1">IF(OR($A13=0,$A13="S",$A13&gt;CFF!$A$9),"",MAX(V$12:OFFSET(V13,-1,0))+1)</f>
        <v>1</v>
      </c>
      <c r="W13" s="9" t="b">
        <f t="shared" ref="W13:W30" si="12">IF(AND($J13="Serviço",$M13&lt;&gt;""),IF($L13="",$M13,CONCATENATE($L13,"-",$M13)))</f>
        <v>0</v>
      </c>
      <c r="X13" s="4" t="str">
        <f t="shared" ref="X13:X30" ca="1" si="13">IF(AND(Fonte&lt;&gt;"",Código&lt;&gt;""),MATCH(Fonte&amp;" "&amp;IF(Fonte="sinapi",SUBSTITUTE(SUBSTITUTE(Código,"/00","/"),"/0","/"),Código),INDIRECT("'[Referência "&amp;_xlnm.Database&amp;".xls]Banco'!$a:$a"),0),"X")</f>
        <v>X</v>
      </c>
      <c r="Y13" s="121">
        <f t="shared" ref="Y13:Y30" ca="1" si="14">IF(Import.Desoneracao="sim",Referencia.Desonerado,Referencia.NaoDesonerado)</f>
        <v>0</v>
      </c>
      <c r="Z13" s="132">
        <f ca="1">ROUND(IF(ISNUMBER(R13),R13,IF(LEFT(R13,3)="BDI",HLOOKUP(R13,DADOS!$T$37:$X$38,2,FALSE),0)),15-11*$X$5)</f>
        <v>0.24179999999999999</v>
      </c>
      <c r="AA13" s="4"/>
    </row>
    <row r="14" spans="1:27" x14ac:dyDescent="0.2">
      <c r="A14" t="str">
        <f t="shared" si="0"/>
        <v>S</v>
      </c>
      <c r="B14">
        <f t="shared" si="1"/>
        <v>0</v>
      </c>
      <c r="C14">
        <f t="shared" ca="1" si="2"/>
        <v>1</v>
      </c>
      <c r="D14">
        <f t="shared" ca="1" si="3"/>
        <v>0</v>
      </c>
      <c r="E14">
        <f t="shared" ca="1" si="4"/>
        <v>0</v>
      </c>
      <c r="F14">
        <f t="shared" ca="1" si="5"/>
        <v>0</v>
      </c>
      <c r="G14">
        <f t="shared" ca="1" si="6"/>
        <v>1</v>
      </c>
      <c r="H14">
        <f t="shared" ref="H14:H30" ca="1" si="15">IF(OR($A14="S",$A14=0),0,MATCH(0,OFFSET($B14,1,$A14,ROW($A$31)-ROW($A14)),0))</f>
        <v>0</v>
      </c>
      <c r="I14">
        <f t="shared" ref="I14:I30" ca="1" si="16">IF(OR($A14="S",$A14=0),0,MATCH(OFFSET($B14,0,$A14)+1,OFFSET($B14,1,$A14,ROW($A$31)-ROW($A14)),0))</f>
        <v>0</v>
      </c>
      <c r="J14" s="120" t="s">
        <v>103</v>
      </c>
      <c r="K14" s="162" t="str">
        <f t="shared" ca="1" si="7"/>
        <v>1.1.</v>
      </c>
      <c r="L14" s="233" t="s">
        <v>236</v>
      </c>
      <c r="M14" s="234">
        <v>78472</v>
      </c>
      <c r="N14" s="237" t="s">
        <v>262</v>
      </c>
      <c r="O14" s="235" t="s">
        <v>241</v>
      </c>
      <c r="P14" s="225">
        <f ca="1">OFFSET(PLQ!$E$12,ROW($P14)-ROW(P$12),0)</f>
        <v>3126</v>
      </c>
      <c r="Q14" s="236">
        <v>0.34</v>
      </c>
      <c r="R14" s="232" t="s">
        <v>7</v>
      </c>
      <c r="S14" s="121">
        <f t="shared" ca="1" si="9"/>
        <v>0.42</v>
      </c>
      <c r="T14" s="98">
        <f t="shared" ca="1" si="10"/>
        <v>1312.92</v>
      </c>
      <c r="U14" s="13" t="str">
        <f t="shared" ca="1" si="11"/>
        <v>ACIMA REF.</v>
      </c>
      <c r="V14" s="4" t="str">
        <f ca="1">IF(OR($A14=0,$A14="S",$A14&gt;CFF!$A$9),"",MAX(V$12:OFFSET(V14,-1,0))+1)</f>
        <v/>
      </c>
      <c r="W14" s="9" t="str">
        <f t="shared" si="12"/>
        <v>SINAPI-78472</v>
      </c>
      <c r="X14" s="4" t="e">
        <f t="shared" ca="1" si="13"/>
        <v>#REF!</v>
      </c>
      <c r="Y14" s="121">
        <f t="shared" ca="1" si="14"/>
        <v>0</v>
      </c>
      <c r="Z14" s="132">
        <f ca="1">ROUND(IF(ISNUMBER(R14),R14,IF(LEFT(R14,3)="BDI",HLOOKUP(R14,DADOS!$T$37:$X$38,2,FALSE),0)),15-11*$X$5)</f>
        <v>0.24179999999999999</v>
      </c>
      <c r="AA14" s="4"/>
    </row>
    <row r="15" spans="1:27" x14ac:dyDescent="0.2">
      <c r="A15" t="str">
        <f t="shared" si="0"/>
        <v>S</v>
      </c>
      <c r="B15">
        <f t="shared" si="1"/>
        <v>0</v>
      </c>
      <c r="C15">
        <f t="shared" ca="1" si="2"/>
        <v>1</v>
      </c>
      <c r="D15">
        <f t="shared" ca="1" si="3"/>
        <v>0</v>
      </c>
      <c r="E15">
        <f t="shared" ca="1" si="4"/>
        <v>0</v>
      </c>
      <c r="F15">
        <f t="shared" ca="1" si="5"/>
        <v>0</v>
      </c>
      <c r="G15">
        <f t="shared" ca="1" si="6"/>
        <v>2</v>
      </c>
      <c r="H15">
        <f t="shared" ca="1" si="15"/>
        <v>0</v>
      </c>
      <c r="I15">
        <f t="shared" ca="1" si="16"/>
        <v>0</v>
      </c>
      <c r="J15" s="120" t="s">
        <v>103</v>
      </c>
      <c r="K15" s="162" t="str">
        <f t="shared" ca="1" si="7"/>
        <v>1.2.</v>
      </c>
      <c r="L15" s="233" t="s">
        <v>236</v>
      </c>
      <c r="M15" s="234" t="s">
        <v>263</v>
      </c>
      <c r="N15" s="237" t="s">
        <v>264</v>
      </c>
      <c r="O15" s="235" t="s">
        <v>241</v>
      </c>
      <c r="P15" s="225">
        <f ca="1">OFFSET(PLQ!$E$12,ROW($P15)-ROW(P$12),0)</f>
        <v>1042</v>
      </c>
      <c r="Q15" s="236">
        <v>0.47</v>
      </c>
      <c r="R15" s="232" t="s">
        <v>7</v>
      </c>
      <c r="S15" s="121">
        <f t="shared" ca="1" si="9"/>
        <v>0.57999999999999996</v>
      </c>
      <c r="T15" s="98">
        <f t="shared" ca="1" si="10"/>
        <v>604.36</v>
      </c>
      <c r="U15" s="13" t="str">
        <f t="shared" ca="1" si="11"/>
        <v>ACIMA REF.</v>
      </c>
      <c r="V15" s="4" t="str">
        <f ca="1">IF(OR($A15=0,$A15="S",$A15&gt;CFF!$A$9),"",MAX(V$12:OFFSET(V15,-1,0))+1)</f>
        <v/>
      </c>
      <c r="W15" s="9" t="str">
        <f t="shared" si="12"/>
        <v>SINAPI-73822/002</v>
      </c>
      <c r="X15" s="4" t="e">
        <f t="shared" ca="1" si="13"/>
        <v>#REF!</v>
      </c>
      <c r="Y15" s="121">
        <f t="shared" ca="1" si="14"/>
        <v>0</v>
      </c>
      <c r="Z15" s="132">
        <f ca="1">ROUND(IF(ISNUMBER(R15),R15,IF(LEFT(R15,3)="BDI",HLOOKUP(R15,DADOS!$T$37:$X$38,2,FALSE),0)),15-11*$X$5)</f>
        <v>0.24179999999999999</v>
      </c>
      <c r="AA15" s="4"/>
    </row>
    <row r="16" spans="1:27" x14ac:dyDescent="0.2">
      <c r="A16" t="str">
        <f t="shared" si="0"/>
        <v>S</v>
      </c>
      <c r="B16">
        <f t="shared" si="1"/>
        <v>0</v>
      </c>
      <c r="C16">
        <f t="shared" ca="1" si="2"/>
        <v>1</v>
      </c>
      <c r="D16">
        <f t="shared" ca="1" si="3"/>
        <v>0</v>
      </c>
      <c r="E16">
        <f t="shared" ca="1" si="4"/>
        <v>0</v>
      </c>
      <c r="F16">
        <f t="shared" ca="1" si="5"/>
        <v>0</v>
      </c>
      <c r="G16">
        <f t="shared" ca="1" si="6"/>
        <v>3</v>
      </c>
      <c r="H16">
        <f t="shared" ca="1" si="15"/>
        <v>0</v>
      </c>
      <c r="I16">
        <f t="shared" ca="1" si="16"/>
        <v>0</v>
      </c>
      <c r="J16" s="120" t="s">
        <v>103</v>
      </c>
      <c r="K16" s="162" t="str">
        <f t="shared" ca="1" si="7"/>
        <v>1.3.</v>
      </c>
      <c r="L16" s="233" t="s">
        <v>236</v>
      </c>
      <c r="M16" s="239">
        <v>72961</v>
      </c>
      <c r="N16" s="237" t="s">
        <v>265</v>
      </c>
      <c r="O16" s="235" t="s">
        <v>241</v>
      </c>
      <c r="P16" s="225">
        <f ca="1">OFFSET(PLQ!$E$12,ROW($P16)-ROW(P$12),0)</f>
        <v>2084</v>
      </c>
      <c r="Q16" s="240">
        <v>1.21</v>
      </c>
      <c r="R16" s="232" t="s">
        <v>7</v>
      </c>
      <c r="S16" s="121">
        <f t="shared" ca="1" si="9"/>
        <v>1.5</v>
      </c>
      <c r="T16" s="98">
        <f t="shared" ca="1" si="10"/>
        <v>3126</v>
      </c>
      <c r="U16" s="13" t="str">
        <f t="shared" ca="1" si="11"/>
        <v>ACIMA REF.</v>
      </c>
      <c r="V16" s="4" t="str">
        <f ca="1">IF(OR($A16=0,$A16="S",$A16&gt;CFF!$A$9),"",MAX(V$12:OFFSET(V16,-1,0))+1)</f>
        <v/>
      </c>
      <c r="W16" s="9" t="str">
        <f t="shared" si="12"/>
        <v>SINAPI-72961</v>
      </c>
      <c r="X16" s="4" t="e">
        <f t="shared" ca="1" si="13"/>
        <v>#REF!</v>
      </c>
      <c r="Y16" s="121">
        <f t="shared" ca="1" si="14"/>
        <v>0</v>
      </c>
      <c r="Z16" s="132">
        <f ca="1">ROUND(IF(ISNUMBER(R16),R16,IF(LEFT(R16,3)="BDI",HLOOKUP(R16,DADOS!$T$37:$X$38,2,FALSE),0)),15-11*$X$5)</f>
        <v>0.24179999999999999</v>
      </c>
      <c r="AA16" s="4"/>
    </row>
    <row r="17" spans="1:27" x14ac:dyDescent="0.2">
      <c r="A17" t="str">
        <f t="shared" si="0"/>
        <v>S</v>
      </c>
      <c r="B17">
        <f t="shared" si="1"/>
        <v>0</v>
      </c>
      <c r="C17">
        <f t="shared" ca="1" si="2"/>
        <v>1</v>
      </c>
      <c r="D17">
        <f t="shared" ca="1" si="3"/>
        <v>0</v>
      </c>
      <c r="E17">
        <f t="shared" ca="1" si="4"/>
        <v>0</v>
      </c>
      <c r="F17">
        <f t="shared" ca="1" si="5"/>
        <v>0</v>
      </c>
      <c r="G17">
        <f t="shared" ca="1" si="6"/>
        <v>4</v>
      </c>
      <c r="H17">
        <f t="shared" ca="1" si="15"/>
        <v>0</v>
      </c>
      <c r="I17">
        <f t="shared" ca="1" si="16"/>
        <v>0</v>
      </c>
      <c r="J17" s="120" t="s">
        <v>103</v>
      </c>
      <c r="K17" s="162" t="str">
        <f t="shared" ca="1" si="7"/>
        <v>1.4.</v>
      </c>
      <c r="L17" s="233" t="s">
        <v>236</v>
      </c>
      <c r="M17" s="239">
        <v>92394</v>
      </c>
      <c r="N17" s="237" t="s">
        <v>266</v>
      </c>
      <c r="O17" s="235" t="s">
        <v>241</v>
      </c>
      <c r="P17" s="225">
        <f ca="1">OFFSET(PLQ!$E$12,ROW($P17)-ROW(P$12),0)</f>
        <v>2084</v>
      </c>
      <c r="Q17" s="240">
        <v>46.68</v>
      </c>
      <c r="R17" s="232" t="s">
        <v>7</v>
      </c>
      <c r="S17" s="121">
        <f t="shared" ca="1" si="9"/>
        <v>57.97</v>
      </c>
      <c r="T17" s="98">
        <f t="shared" ca="1" si="10"/>
        <v>120809.48</v>
      </c>
      <c r="U17" s="13" t="str">
        <f t="shared" ca="1" si="11"/>
        <v>ACIMA REF.</v>
      </c>
      <c r="V17" s="4" t="str">
        <f ca="1">IF(OR($A17=0,$A17="S",$A17&gt;CFF!$A$9),"",MAX(V$12:OFFSET(V17,-1,0))+1)</f>
        <v/>
      </c>
      <c r="W17" s="9" t="str">
        <f t="shared" si="12"/>
        <v>SINAPI-92394</v>
      </c>
      <c r="X17" s="4" t="e">
        <f t="shared" ca="1" si="13"/>
        <v>#REF!</v>
      </c>
      <c r="Y17" s="121">
        <f t="shared" ca="1" si="14"/>
        <v>0</v>
      </c>
      <c r="Z17" s="132">
        <f ca="1">ROUND(IF(ISNUMBER(R17),R17,IF(LEFT(R17,3)="BDI",HLOOKUP(R17,DADOS!$T$37:$X$38,2,FALSE),0)),15-11*$X$5)</f>
        <v>0.24179999999999999</v>
      </c>
      <c r="AA17" s="4"/>
    </row>
    <row r="18" spans="1:27" x14ac:dyDescent="0.2">
      <c r="A18" t="str">
        <f t="shared" si="0"/>
        <v>S</v>
      </c>
      <c r="B18">
        <f t="shared" si="1"/>
        <v>0</v>
      </c>
      <c r="C18">
        <f t="shared" ca="1" si="2"/>
        <v>1</v>
      </c>
      <c r="D18">
        <f t="shared" ca="1" si="3"/>
        <v>0</v>
      </c>
      <c r="E18">
        <f t="shared" ca="1" si="4"/>
        <v>0</v>
      </c>
      <c r="F18">
        <f t="shared" ca="1" si="5"/>
        <v>0</v>
      </c>
      <c r="G18">
        <f t="shared" ca="1" si="6"/>
        <v>5</v>
      </c>
      <c r="H18">
        <f t="shared" ca="1" si="15"/>
        <v>0</v>
      </c>
      <c r="I18">
        <f t="shared" ca="1" si="16"/>
        <v>0</v>
      </c>
      <c r="J18" s="120" t="s">
        <v>103</v>
      </c>
      <c r="K18" s="162" t="str">
        <f t="shared" ca="1" si="7"/>
        <v>1.5.</v>
      </c>
      <c r="L18" s="233" t="s">
        <v>236</v>
      </c>
      <c r="M18" s="239">
        <v>94273</v>
      </c>
      <c r="N18" s="237" t="s">
        <v>267</v>
      </c>
      <c r="O18" s="241" t="s">
        <v>244</v>
      </c>
      <c r="P18" s="225">
        <f ca="1">OFFSET(PLQ!$E$12,ROW($P18)-ROW(P$12),0)</f>
        <v>521</v>
      </c>
      <c r="Q18" s="240">
        <v>36.29</v>
      </c>
      <c r="R18" s="232" t="s">
        <v>7</v>
      </c>
      <c r="S18" s="121">
        <f t="shared" ca="1" si="9"/>
        <v>45.06</v>
      </c>
      <c r="T18" s="98">
        <f t="shared" ca="1" si="10"/>
        <v>23476.26</v>
      </c>
      <c r="U18" s="13" t="str">
        <f t="shared" ca="1" si="11"/>
        <v>ACIMA REF.</v>
      </c>
      <c r="V18" s="4" t="str">
        <f ca="1">IF(OR($A18=0,$A18="S",$A18&gt;CFF!$A$9),"",MAX(V$12:OFFSET(V18,-1,0))+1)</f>
        <v/>
      </c>
      <c r="W18" s="9" t="str">
        <f t="shared" si="12"/>
        <v>SINAPI-94273</v>
      </c>
      <c r="X18" s="4" t="e">
        <f t="shared" ca="1" si="13"/>
        <v>#REF!</v>
      </c>
      <c r="Y18" s="121">
        <f t="shared" ca="1" si="14"/>
        <v>0</v>
      </c>
      <c r="Z18" s="132">
        <f ca="1">ROUND(IF(ISNUMBER(R18),R18,IF(LEFT(R18,3)="BDI",HLOOKUP(R18,DADOS!$T$37:$X$38,2,FALSE),0)),15-11*$X$5)</f>
        <v>0.24179999999999999</v>
      </c>
      <c r="AA18" s="4"/>
    </row>
    <row r="19" spans="1:27" x14ac:dyDescent="0.2">
      <c r="A19" t="str">
        <f t="shared" si="0"/>
        <v>S</v>
      </c>
      <c r="B19">
        <f t="shared" si="1"/>
        <v>0</v>
      </c>
      <c r="C19">
        <f t="shared" ca="1" si="2"/>
        <v>1</v>
      </c>
      <c r="D19">
        <f t="shared" ca="1" si="3"/>
        <v>0</v>
      </c>
      <c r="E19">
        <f t="shared" ca="1" si="4"/>
        <v>0</v>
      </c>
      <c r="F19">
        <f t="shared" ca="1" si="5"/>
        <v>0</v>
      </c>
      <c r="G19">
        <f t="shared" ca="1" si="6"/>
        <v>6</v>
      </c>
      <c r="H19">
        <f t="shared" ca="1" si="15"/>
        <v>0</v>
      </c>
      <c r="I19">
        <f t="shared" ca="1" si="16"/>
        <v>0</v>
      </c>
      <c r="J19" s="120" t="s">
        <v>103</v>
      </c>
      <c r="K19" s="162" t="str">
        <f t="shared" ca="1" si="7"/>
        <v>1.6.</v>
      </c>
      <c r="L19" s="233" t="s">
        <v>236</v>
      </c>
      <c r="M19" s="234" t="s">
        <v>237</v>
      </c>
      <c r="N19" s="237" t="s">
        <v>238</v>
      </c>
      <c r="O19" s="235" t="s">
        <v>239</v>
      </c>
      <c r="P19" s="225">
        <f ca="1">OFFSET(PLQ!$E$12,ROW($P19)-ROW(P$12),0)</f>
        <v>156.30000000000001</v>
      </c>
      <c r="Q19" s="236">
        <v>4.68</v>
      </c>
      <c r="R19" s="232" t="s">
        <v>7</v>
      </c>
      <c r="S19" s="121">
        <f t="shared" ca="1" si="9"/>
        <v>5.81</v>
      </c>
      <c r="T19" s="98">
        <f t="shared" ca="1" si="10"/>
        <v>908.1</v>
      </c>
      <c r="U19" s="13" t="str">
        <f t="shared" ca="1" si="11"/>
        <v>ACIMA REF.</v>
      </c>
      <c r="V19" s="4" t="str">
        <f ca="1">IF(OR($A19=0,$A19="S",$A19&gt;CFF!$A$9),"",MAX(V$12:OFFSET(V19,-1,0))+1)</f>
        <v/>
      </c>
      <c r="W19" s="9" t="str">
        <f t="shared" si="12"/>
        <v>SINAPI-74005/001</v>
      </c>
      <c r="X19" s="4" t="e">
        <f t="shared" ca="1" si="13"/>
        <v>#REF!</v>
      </c>
      <c r="Y19" s="121">
        <f t="shared" ca="1" si="14"/>
        <v>0</v>
      </c>
      <c r="Z19" s="132">
        <f ca="1">ROUND(IF(ISNUMBER(R19),R19,IF(LEFT(R19,3)="BDI",HLOOKUP(R19,DADOS!$T$37:$X$38,2,FALSE),0)),15-11*$X$5)</f>
        <v>0.24179999999999999</v>
      </c>
      <c r="AA19" s="4"/>
    </row>
    <row r="20" spans="1:27" x14ac:dyDescent="0.2">
      <c r="A20" t="str">
        <f t="shared" si="0"/>
        <v>S</v>
      </c>
      <c r="B20">
        <f t="shared" si="1"/>
        <v>0</v>
      </c>
      <c r="C20">
        <f t="shared" ca="1" si="2"/>
        <v>1</v>
      </c>
      <c r="D20">
        <f t="shared" ca="1" si="3"/>
        <v>0</v>
      </c>
      <c r="E20">
        <f t="shared" ca="1" si="4"/>
        <v>0</v>
      </c>
      <c r="F20">
        <f t="shared" ca="1" si="5"/>
        <v>0</v>
      </c>
      <c r="G20">
        <f t="shared" ca="1" si="6"/>
        <v>7</v>
      </c>
      <c r="H20">
        <f t="shared" ca="1" si="15"/>
        <v>0</v>
      </c>
      <c r="I20">
        <f t="shared" ca="1" si="16"/>
        <v>0</v>
      </c>
      <c r="J20" s="120" t="s">
        <v>103</v>
      </c>
      <c r="K20" s="162" t="str">
        <f t="shared" ca="1" si="7"/>
        <v>1.7.</v>
      </c>
      <c r="L20" s="233" t="s">
        <v>236</v>
      </c>
      <c r="M20" s="234">
        <v>92396</v>
      </c>
      <c r="N20" s="237" t="s">
        <v>240</v>
      </c>
      <c r="O20" s="235" t="s">
        <v>241</v>
      </c>
      <c r="P20" s="225">
        <f ca="1">OFFSET(PLQ!$E$12,ROW($P20)-ROW(P$12),0)</f>
        <v>859.65</v>
      </c>
      <c r="Q20" s="236">
        <v>53.97</v>
      </c>
      <c r="R20" s="232" t="s">
        <v>7</v>
      </c>
      <c r="S20" s="121">
        <f t="shared" ca="1" si="9"/>
        <v>67.02</v>
      </c>
      <c r="T20" s="98">
        <f t="shared" ca="1" si="10"/>
        <v>57613.74</v>
      </c>
      <c r="U20" s="13" t="str">
        <f t="shared" ca="1" si="11"/>
        <v>ACIMA REF.</v>
      </c>
      <c r="V20" s="4" t="str">
        <f ca="1">IF(OR($A20=0,$A20="S",$A20&gt;CFF!$A$9),"",MAX(V$12:OFFSET(V20,-1,0))+1)</f>
        <v/>
      </c>
      <c r="W20" s="9" t="str">
        <f t="shared" si="12"/>
        <v>SINAPI-92396</v>
      </c>
      <c r="X20" s="4" t="e">
        <f t="shared" ca="1" si="13"/>
        <v>#REF!</v>
      </c>
      <c r="Y20" s="121">
        <f t="shared" ca="1" si="14"/>
        <v>0</v>
      </c>
      <c r="Z20" s="132">
        <f ca="1">ROUND(IF(ISNUMBER(R20),R20,IF(LEFT(R20,3)="BDI",HLOOKUP(R20,DADOS!$T$37:$X$38,2,FALSE),0)),15-11*$X$5)</f>
        <v>0.24179999999999999</v>
      </c>
      <c r="AA20" s="4"/>
    </row>
    <row r="21" spans="1:27" x14ac:dyDescent="0.2">
      <c r="A21" t="str">
        <f t="shared" si="0"/>
        <v>S</v>
      </c>
      <c r="B21">
        <f t="shared" si="1"/>
        <v>0</v>
      </c>
      <c r="C21">
        <f t="shared" ca="1" si="2"/>
        <v>1</v>
      </c>
      <c r="D21">
        <f t="shared" ca="1" si="3"/>
        <v>0</v>
      </c>
      <c r="E21">
        <f t="shared" ca="1" si="4"/>
        <v>0</v>
      </c>
      <c r="F21">
        <f t="shared" ca="1" si="5"/>
        <v>0</v>
      </c>
      <c r="G21">
        <f t="shared" ca="1" si="6"/>
        <v>8</v>
      </c>
      <c r="H21">
        <f t="shared" ca="1" si="15"/>
        <v>0</v>
      </c>
      <c r="I21">
        <f t="shared" ca="1" si="16"/>
        <v>0</v>
      </c>
      <c r="J21" s="120" t="s">
        <v>103</v>
      </c>
      <c r="K21" s="162" t="str">
        <f t="shared" ca="1" si="7"/>
        <v>1.8.</v>
      </c>
      <c r="L21" s="238" t="s">
        <v>236</v>
      </c>
      <c r="M21" s="239">
        <v>93679</v>
      </c>
      <c r="N21" s="237" t="s">
        <v>242</v>
      </c>
      <c r="O21" s="235" t="s">
        <v>241</v>
      </c>
      <c r="P21" s="225">
        <f ca="1">OFFSET(PLQ!$E$12,ROW($P21)-ROW(P$12),0)</f>
        <v>104.2</v>
      </c>
      <c r="Q21" s="240">
        <v>58.39</v>
      </c>
      <c r="R21" s="232" t="s">
        <v>7</v>
      </c>
      <c r="S21" s="121">
        <f t="shared" ca="1" si="9"/>
        <v>72.510000000000005</v>
      </c>
      <c r="T21" s="98">
        <f t="shared" ca="1" si="10"/>
        <v>7555.54</v>
      </c>
      <c r="U21" s="13" t="str">
        <f t="shared" ca="1" si="11"/>
        <v>ACIMA REF.</v>
      </c>
      <c r="V21" s="4" t="str">
        <f ca="1">IF(OR($A21=0,$A21="S",$A21&gt;CFF!$A$9),"",MAX(V$12:OFFSET(V21,-1,0))+1)</f>
        <v/>
      </c>
      <c r="W21" s="9" t="str">
        <f t="shared" si="12"/>
        <v>SINAPI-93679</v>
      </c>
      <c r="X21" s="4" t="e">
        <f t="shared" ca="1" si="13"/>
        <v>#REF!</v>
      </c>
      <c r="Y21" s="121">
        <f t="shared" ca="1" si="14"/>
        <v>0</v>
      </c>
      <c r="Z21" s="132">
        <f ca="1">ROUND(IF(ISNUMBER(R21),R21,IF(LEFT(R21,3)="BDI",HLOOKUP(R21,DADOS!$T$37:$X$38,2,FALSE),0)),15-11*$X$5)</f>
        <v>0.24179999999999999</v>
      </c>
      <c r="AA21" s="4"/>
    </row>
    <row r="22" spans="1:27" x14ac:dyDescent="0.2">
      <c r="A22" t="str">
        <f t="shared" si="0"/>
        <v>S</v>
      </c>
      <c r="B22">
        <f t="shared" si="1"/>
        <v>0</v>
      </c>
      <c r="C22">
        <f t="shared" ca="1" si="2"/>
        <v>1</v>
      </c>
      <c r="D22">
        <f t="shared" ca="1" si="3"/>
        <v>0</v>
      </c>
      <c r="E22">
        <f t="shared" ca="1" si="4"/>
        <v>0</v>
      </c>
      <c r="F22">
        <f t="shared" ca="1" si="5"/>
        <v>0</v>
      </c>
      <c r="G22">
        <f t="shared" ca="1" si="6"/>
        <v>9</v>
      </c>
      <c r="H22">
        <f t="shared" ca="1" si="15"/>
        <v>0</v>
      </c>
      <c r="I22">
        <f t="shared" ca="1" si="16"/>
        <v>0</v>
      </c>
      <c r="J22" s="120" t="s">
        <v>103</v>
      </c>
      <c r="K22" s="162" t="str">
        <f t="shared" ca="1" si="7"/>
        <v>1.9.</v>
      </c>
      <c r="L22" s="238" t="s">
        <v>236</v>
      </c>
      <c r="M22" s="239">
        <v>94273</v>
      </c>
      <c r="N22" s="237" t="s">
        <v>243</v>
      </c>
      <c r="O22" s="241" t="s">
        <v>244</v>
      </c>
      <c r="P22" s="225">
        <f ca="1">OFFSET(PLQ!$E$12,ROW($P22)-ROW(P$12),0)</f>
        <v>275</v>
      </c>
      <c r="Q22" s="240">
        <v>36.29</v>
      </c>
      <c r="R22" s="232" t="s">
        <v>7</v>
      </c>
      <c r="S22" s="121">
        <f t="shared" ca="1" si="9"/>
        <v>45.06</v>
      </c>
      <c r="T22" s="98">
        <f t="shared" ca="1" si="10"/>
        <v>12391.5</v>
      </c>
      <c r="U22" s="13" t="str">
        <f t="shared" ca="1" si="11"/>
        <v>ACIMA REF.</v>
      </c>
      <c r="V22" s="4" t="str">
        <f ca="1">IF(OR($A22=0,$A22="S",$A22&gt;CFF!$A$9),"",MAX(V$12:OFFSET(V22,-1,0))+1)</f>
        <v/>
      </c>
      <c r="W22" s="9" t="str">
        <f t="shared" si="12"/>
        <v>SINAPI-94273</v>
      </c>
      <c r="X22" s="4" t="e">
        <f t="shared" ca="1" si="13"/>
        <v>#REF!</v>
      </c>
      <c r="Y22" s="121">
        <f t="shared" ca="1" si="14"/>
        <v>0</v>
      </c>
      <c r="Z22" s="132">
        <f ca="1">ROUND(IF(ISNUMBER(R22),R22,IF(LEFT(R22,3)="BDI",HLOOKUP(R22,DADOS!$T$37:$X$38,2,FALSE),0)),15-11*$X$5)</f>
        <v>0.24179999999999999</v>
      </c>
      <c r="AA22" s="4"/>
    </row>
    <row r="23" spans="1:27" x14ac:dyDescent="0.2">
      <c r="A23" t="str">
        <f t="shared" si="0"/>
        <v>S</v>
      </c>
      <c r="B23">
        <f t="shared" si="1"/>
        <v>0</v>
      </c>
      <c r="C23">
        <f t="shared" ca="1" si="2"/>
        <v>1</v>
      </c>
      <c r="D23">
        <f t="shared" ca="1" si="3"/>
        <v>0</v>
      </c>
      <c r="E23">
        <f t="shared" ca="1" si="4"/>
        <v>0</v>
      </c>
      <c r="F23">
        <f t="shared" ca="1" si="5"/>
        <v>0</v>
      </c>
      <c r="G23">
        <f t="shared" ca="1" si="6"/>
        <v>10</v>
      </c>
      <c r="H23">
        <f t="shared" ca="1" si="15"/>
        <v>0</v>
      </c>
      <c r="I23">
        <f t="shared" ca="1" si="16"/>
        <v>0</v>
      </c>
      <c r="J23" s="120" t="s">
        <v>103</v>
      </c>
      <c r="K23" s="162" t="str">
        <f t="shared" ca="1" si="7"/>
        <v>1.10.</v>
      </c>
      <c r="L23" s="238" t="s">
        <v>236</v>
      </c>
      <c r="M23" s="239" t="s">
        <v>272</v>
      </c>
      <c r="N23" s="237" t="s">
        <v>273</v>
      </c>
      <c r="O23" s="241" t="s">
        <v>239</v>
      </c>
      <c r="P23" s="225">
        <f ca="1">OFFSET(PLQ!$E$12,ROW($P23)-ROW(P$12),0)</f>
        <v>156.30000000000001</v>
      </c>
      <c r="Q23" s="240">
        <v>1.43</v>
      </c>
      <c r="R23" s="232" t="s">
        <v>7</v>
      </c>
      <c r="S23" s="121">
        <f t="shared" ca="1" si="9"/>
        <v>1.78</v>
      </c>
      <c r="T23" s="98">
        <f t="shared" ca="1" si="10"/>
        <v>278.20999999999998</v>
      </c>
      <c r="U23" s="13" t="str">
        <f t="shared" ca="1" si="11"/>
        <v>ACIMA REF.</v>
      </c>
      <c r="V23" s="4" t="str">
        <f ca="1">IF(OR($A23=0,$A23="S",$A23&gt;CFF!$A$9),"",MAX(V$12:OFFSET(V23,-1,0))+1)</f>
        <v/>
      </c>
      <c r="W23" s="9" t="str">
        <f t="shared" si="12"/>
        <v>SINAPI-74205/001</v>
      </c>
      <c r="X23" s="4" t="e">
        <f t="shared" ca="1" si="13"/>
        <v>#REF!</v>
      </c>
      <c r="Y23" s="121">
        <f t="shared" ca="1" si="14"/>
        <v>0</v>
      </c>
      <c r="Z23" s="132">
        <f ca="1">ROUND(IF(ISNUMBER(R23),R23,IF(LEFT(R23,3)="BDI",HLOOKUP(R23,DADOS!$T$37:$X$38,2,FALSE),0)),15-11*$X$5)</f>
        <v>0.24179999999999999</v>
      </c>
      <c r="AA23" s="4"/>
    </row>
    <row r="24" spans="1:27" x14ac:dyDescent="0.2">
      <c r="A24" t="str">
        <f t="shared" si="0"/>
        <v>S</v>
      </c>
      <c r="B24">
        <f t="shared" si="1"/>
        <v>0</v>
      </c>
      <c r="C24">
        <f t="shared" ca="1" si="2"/>
        <v>1</v>
      </c>
      <c r="D24">
        <f t="shared" ca="1" si="3"/>
        <v>0</v>
      </c>
      <c r="E24">
        <f t="shared" ca="1" si="4"/>
        <v>0</v>
      </c>
      <c r="F24">
        <f t="shared" ca="1" si="5"/>
        <v>0</v>
      </c>
      <c r="G24">
        <f t="shared" ca="1" si="6"/>
        <v>11</v>
      </c>
      <c r="H24">
        <f t="shared" ca="1" si="15"/>
        <v>0</v>
      </c>
      <c r="I24">
        <f t="shared" ca="1" si="16"/>
        <v>0</v>
      </c>
      <c r="J24" s="120" t="s">
        <v>103</v>
      </c>
      <c r="K24" s="162" t="str">
        <f t="shared" ca="1" si="7"/>
        <v>1.11.</v>
      </c>
      <c r="L24" s="238" t="s">
        <v>245</v>
      </c>
      <c r="M24" s="239">
        <v>4915713</v>
      </c>
      <c r="N24" s="237" t="s">
        <v>246</v>
      </c>
      <c r="O24" s="241" t="s">
        <v>239</v>
      </c>
      <c r="P24" s="225">
        <f ca="1">OFFSET(PLQ!$E$12,ROW($P24)-ROW(P$12),0)</f>
        <v>0.45</v>
      </c>
      <c r="Q24" s="240">
        <v>52.95</v>
      </c>
      <c r="R24" s="232" t="s">
        <v>7</v>
      </c>
      <c r="S24" s="121">
        <f t="shared" ca="1" si="9"/>
        <v>65.75</v>
      </c>
      <c r="T24" s="98">
        <f t="shared" ca="1" si="10"/>
        <v>29.59</v>
      </c>
      <c r="U24" s="13" t="str">
        <f t="shared" ca="1" si="11"/>
        <v>ACIMA REF.</v>
      </c>
      <c r="V24" s="4" t="str">
        <f ca="1">IF(OR($A24=0,$A24="S",$A24&gt;CFF!$A$9),"",MAX(V$12:OFFSET(V24,-1,0))+1)</f>
        <v/>
      </c>
      <c r="W24" s="9" t="str">
        <f t="shared" si="12"/>
        <v>SICRO-4915713</v>
      </c>
      <c r="X24" s="4" t="e">
        <f t="shared" ca="1" si="13"/>
        <v>#REF!</v>
      </c>
      <c r="Y24" s="121">
        <f t="shared" ca="1" si="14"/>
        <v>0</v>
      </c>
      <c r="Z24" s="132">
        <f ca="1">ROUND(IF(ISNUMBER(R24),R24,IF(LEFT(R24,3)="BDI",HLOOKUP(R24,DADOS!$T$37:$X$38,2,FALSE),0)),15-11*$X$5)</f>
        <v>0.24179999999999999</v>
      </c>
      <c r="AA24" s="4"/>
    </row>
    <row r="25" spans="1:27" x14ac:dyDescent="0.2">
      <c r="A25" t="str">
        <f t="shared" si="0"/>
        <v>S</v>
      </c>
      <c r="B25">
        <f t="shared" si="1"/>
        <v>0</v>
      </c>
      <c r="C25">
        <f t="shared" ca="1" si="2"/>
        <v>1</v>
      </c>
      <c r="D25">
        <f t="shared" ca="1" si="3"/>
        <v>0</v>
      </c>
      <c r="E25">
        <f t="shared" ca="1" si="4"/>
        <v>0</v>
      </c>
      <c r="F25">
        <f t="shared" ca="1" si="5"/>
        <v>0</v>
      </c>
      <c r="G25">
        <f t="shared" ca="1" si="6"/>
        <v>12</v>
      </c>
      <c r="H25">
        <f t="shared" ca="1" si="15"/>
        <v>0</v>
      </c>
      <c r="I25">
        <f t="shared" ca="1" si="16"/>
        <v>0</v>
      </c>
      <c r="J25" s="120" t="s">
        <v>103</v>
      </c>
      <c r="K25" s="162" t="str">
        <f t="shared" ca="1" si="7"/>
        <v>1.12.</v>
      </c>
      <c r="L25" s="238" t="s">
        <v>245</v>
      </c>
      <c r="M25" s="239">
        <v>5213408</v>
      </c>
      <c r="N25" s="242" t="s">
        <v>253</v>
      </c>
      <c r="O25" s="241" t="s">
        <v>241</v>
      </c>
      <c r="P25" s="225">
        <f ca="1">OFFSET(PLQ!$E$12,ROW($P25)-ROW(P$12),0)</f>
        <v>38.4</v>
      </c>
      <c r="Q25" s="240">
        <v>38.32</v>
      </c>
      <c r="R25" s="232" t="s">
        <v>7</v>
      </c>
      <c r="S25" s="121">
        <f t="shared" ca="1" si="9"/>
        <v>47.59</v>
      </c>
      <c r="T25" s="98">
        <f t="shared" ca="1" si="10"/>
        <v>1827.46</v>
      </c>
      <c r="U25" s="13" t="str">
        <f t="shared" ca="1" si="11"/>
        <v>ACIMA REF.</v>
      </c>
      <c r="V25" s="4" t="str">
        <f ca="1">IF(OR($A25=0,$A25="S",$A25&gt;CFF!$A$9),"",MAX(V$12:OFFSET(V25,-1,0))+1)</f>
        <v/>
      </c>
      <c r="W25" s="9" t="str">
        <f t="shared" si="12"/>
        <v>SICRO-5213408</v>
      </c>
      <c r="X25" s="4" t="e">
        <f t="shared" ca="1" si="13"/>
        <v>#REF!</v>
      </c>
      <c r="Y25" s="121">
        <f t="shared" ca="1" si="14"/>
        <v>0</v>
      </c>
      <c r="Z25" s="132">
        <f ca="1">ROUND(IF(ISNUMBER(R25),R25,IF(LEFT(R25,3)="BDI",HLOOKUP(R25,DADOS!$T$37:$X$38,2,FALSE),0)),15-11*$X$5)</f>
        <v>0.24179999999999999</v>
      </c>
      <c r="AA25" s="4"/>
    </row>
    <row r="26" spans="1:27" x14ac:dyDescent="0.2">
      <c r="A26" t="str">
        <f t="shared" si="0"/>
        <v>S</v>
      </c>
      <c r="B26">
        <f t="shared" si="1"/>
        <v>0</v>
      </c>
      <c r="C26">
        <f t="shared" ca="1" si="2"/>
        <v>1</v>
      </c>
      <c r="D26">
        <f t="shared" ca="1" si="3"/>
        <v>0</v>
      </c>
      <c r="E26">
        <f t="shared" ca="1" si="4"/>
        <v>0</v>
      </c>
      <c r="F26">
        <f t="shared" ca="1" si="5"/>
        <v>0</v>
      </c>
      <c r="G26">
        <f t="shared" ca="1" si="6"/>
        <v>13</v>
      </c>
      <c r="H26">
        <f t="shared" ca="1" si="15"/>
        <v>0</v>
      </c>
      <c r="I26">
        <f t="shared" ca="1" si="16"/>
        <v>0</v>
      </c>
      <c r="J26" s="120" t="s">
        <v>103</v>
      </c>
      <c r="K26" s="162" t="str">
        <f t="shared" ca="1" si="7"/>
        <v>1.13.</v>
      </c>
      <c r="L26" s="238" t="s">
        <v>245</v>
      </c>
      <c r="M26" s="239">
        <v>5213444</v>
      </c>
      <c r="N26" s="237" t="s">
        <v>248</v>
      </c>
      <c r="O26" s="241" t="s">
        <v>249</v>
      </c>
      <c r="P26" s="225">
        <f ca="1">OFFSET(PLQ!$E$12,ROW($P26)-ROW(P$12),0)</f>
        <v>2</v>
      </c>
      <c r="Q26" s="240">
        <v>174.04</v>
      </c>
      <c r="R26" s="232" t="s">
        <v>7</v>
      </c>
      <c r="S26" s="121">
        <f t="shared" ca="1" si="9"/>
        <v>216.12</v>
      </c>
      <c r="T26" s="98">
        <f t="shared" ca="1" si="10"/>
        <v>432.24</v>
      </c>
      <c r="U26" s="13" t="str">
        <f t="shared" ca="1" si="11"/>
        <v>ACIMA REF.</v>
      </c>
      <c r="V26" s="4" t="str">
        <f ca="1">IF(OR($A26=0,$A26="S",$A26&gt;CFF!$A$9),"",MAX(V$12:OFFSET(V26,-1,0))+1)</f>
        <v/>
      </c>
      <c r="W26" s="9" t="str">
        <f t="shared" si="12"/>
        <v>SICRO-5213444</v>
      </c>
      <c r="X26" s="4" t="e">
        <f t="shared" ca="1" si="13"/>
        <v>#REF!</v>
      </c>
      <c r="Y26" s="121">
        <f t="shared" ca="1" si="14"/>
        <v>0</v>
      </c>
      <c r="Z26" s="132">
        <f ca="1">ROUND(IF(ISNUMBER(R26),R26,IF(LEFT(R26,3)="BDI",HLOOKUP(R26,DADOS!$T$37:$X$38,2,FALSE),0)),15-11*$X$5)</f>
        <v>0.24179999999999999</v>
      </c>
      <c r="AA26" s="4"/>
    </row>
    <row r="27" spans="1:27" x14ac:dyDescent="0.2">
      <c r="A27" t="str">
        <f t="shared" si="0"/>
        <v>S</v>
      </c>
      <c r="B27">
        <f t="shared" si="1"/>
        <v>0</v>
      </c>
      <c r="C27">
        <f t="shared" ca="1" si="2"/>
        <v>1</v>
      </c>
      <c r="D27">
        <f t="shared" ca="1" si="3"/>
        <v>0</v>
      </c>
      <c r="E27">
        <f t="shared" ca="1" si="4"/>
        <v>0</v>
      </c>
      <c r="F27">
        <f t="shared" ca="1" si="5"/>
        <v>0</v>
      </c>
      <c r="G27">
        <f t="shared" ca="1" si="6"/>
        <v>14</v>
      </c>
      <c r="H27">
        <f t="shared" ca="1" si="15"/>
        <v>0</v>
      </c>
      <c r="I27">
        <f t="shared" ca="1" si="16"/>
        <v>0</v>
      </c>
      <c r="J27" s="120" t="s">
        <v>103</v>
      </c>
      <c r="K27" s="162" t="str">
        <f t="shared" ca="1" si="7"/>
        <v>1.14.</v>
      </c>
      <c r="L27" s="238" t="s">
        <v>245</v>
      </c>
      <c r="M27" s="239">
        <v>5213446</v>
      </c>
      <c r="N27" s="237" t="s">
        <v>250</v>
      </c>
      <c r="O27" s="241" t="s">
        <v>249</v>
      </c>
      <c r="P27" s="225">
        <f ca="1">OFFSET(PLQ!$E$12,ROW($P27)-ROW(P$12),0)</f>
        <v>2</v>
      </c>
      <c r="Q27" s="240">
        <v>202.42</v>
      </c>
      <c r="R27" s="232" t="s">
        <v>7</v>
      </c>
      <c r="S27" s="121">
        <f t="shared" ca="1" si="9"/>
        <v>251.37</v>
      </c>
      <c r="T27" s="98">
        <f t="shared" ca="1" si="10"/>
        <v>502.74</v>
      </c>
      <c r="U27" s="13" t="str">
        <f t="shared" ca="1" si="11"/>
        <v>ACIMA REF.</v>
      </c>
      <c r="V27" s="4" t="str">
        <f ca="1">IF(OR($A27=0,$A27="S",$A27&gt;CFF!$A$9),"",MAX(V$12:OFFSET(V27,-1,0))+1)</f>
        <v/>
      </c>
      <c r="W27" s="9" t="str">
        <f t="shared" si="12"/>
        <v>SICRO-5213446</v>
      </c>
      <c r="X27" s="4" t="e">
        <f t="shared" ca="1" si="13"/>
        <v>#REF!</v>
      </c>
      <c r="Y27" s="121">
        <f t="shared" ca="1" si="14"/>
        <v>0</v>
      </c>
      <c r="Z27" s="132">
        <f ca="1">ROUND(IF(ISNUMBER(R27),R27,IF(LEFT(R27,3)="BDI",HLOOKUP(R27,DADOS!$T$37:$X$38,2,FALSE),0)),15-11*$X$5)</f>
        <v>0.24179999999999999</v>
      </c>
      <c r="AA27" s="4"/>
    </row>
    <row r="28" spans="1:27" x14ac:dyDescent="0.2">
      <c r="A28" t="str">
        <f t="shared" si="0"/>
        <v>S</v>
      </c>
      <c r="B28">
        <f t="shared" si="1"/>
        <v>0</v>
      </c>
      <c r="C28">
        <f t="shared" ca="1" si="2"/>
        <v>1</v>
      </c>
      <c r="D28">
        <f t="shared" ca="1" si="3"/>
        <v>0</v>
      </c>
      <c r="E28">
        <f t="shared" ca="1" si="4"/>
        <v>0</v>
      </c>
      <c r="F28">
        <f t="shared" ca="1" si="5"/>
        <v>0</v>
      </c>
      <c r="G28">
        <f t="shared" ca="1" si="6"/>
        <v>15</v>
      </c>
      <c r="H28">
        <f t="shared" ca="1" si="15"/>
        <v>0</v>
      </c>
      <c r="I28">
        <f t="shared" ca="1" si="16"/>
        <v>0</v>
      </c>
      <c r="J28" s="120" t="s">
        <v>103</v>
      </c>
      <c r="K28" s="162" t="str">
        <f t="shared" ca="1" si="7"/>
        <v>1.15.</v>
      </c>
      <c r="L28" s="238" t="s">
        <v>245</v>
      </c>
      <c r="M28" s="239">
        <v>5213855</v>
      </c>
      <c r="N28" s="237" t="s">
        <v>251</v>
      </c>
      <c r="O28" s="241" t="s">
        <v>249</v>
      </c>
      <c r="P28" s="225">
        <f ca="1">OFFSET(PLQ!$E$12,ROW($P28)-ROW(P$12),0)</f>
        <v>3</v>
      </c>
      <c r="Q28" s="240">
        <v>244.1</v>
      </c>
      <c r="R28" s="232" t="s">
        <v>7</v>
      </c>
      <c r="S28" s="121">
        <f t="shared" ca="1" si="9"/>
        <v>303.12</v>
      </c>
      <c r="T28" s="98">
        <f t="shared" ca="1" si="10"/>
        <v>909.36</v>
      </c>
      <c r="U28" s="13" t="str">
        <f t="shared" ca="1" si="11"/>
        <v>ACIMA REF.</v>
      </c>
      <c r="V28" s="4" t="str">
        <f ca="1">IF(OR($A28=0,$A28="S",$A28&gt;CFF!$A$9),"",MAX(V$12:OFFSET(V28,-1,0))+1)</f>
        <v/>
      </c>
      <c r="W28" s="9" t="str">
        <f t="shared" si="12"/>
        <v>SICRO-5213855</v>
      </c>
      <c r="X28" s="4" t="e">
        <f t="shared" ca="1" si="13"/>
        <v>#REF!</v>
      </c>
      <c r="Y28" s="121">
        <f t="shared" ca="1" si="14"/>
        <v>0</v>
      </c>
      <c r="Z28" s="132">
        <f ca="1">ROUND(IF(ISNUMBER(R28),R28,IF(LEFT(R28,3)="BDI",HLOOKUP(R28,DADOS!$T$37:$X$38,2,FALSE),0)),15-11*$X$5)</f>
        <v>0.24179999999999999</v>
      </c>
      <c r="AA28" s="4"/>
    </row>
    <row r="29" spans="1:27" x14ac:dyDescent="0.2">
      <c r="A29" t="str">
        <f t="shared" si="0"/>
        <v>S</v>
      </c>
      <c r="B29">
        <f t="shared" si="1"/>
        <v>0</v>
      </c>
      <c r="C29">
        <f t="shared" ca="1" si="2"/>
        <v>1</v>
      </c>
      <c r="D29">
        <f t="shared" ca="1" si="3"/>
        <v>0</v>
      </c>
      <c r="E29">
        <f t="shared" ca="1" si="4"/>
        <v>0</v>
      </c>
      <c r="F29">
        <f t="shared" ca="1" si="5"/>
        <v>0</v>
      </c>
      <c r="G29">
        <f t="shared" ca="1" si="6"/>
        <v>16</v>
      </c>
      <c r="H29">
        <f t="shared" ca="1" si="15"/>
        <v>0</v>
      </c>
      <c r="I29">
        <f t="shared" ca="1" si="16"/>
        <v>0</v>
      </c>
      <c r="J29" s="120" t="s">
        <v>103</v>
      </c>
      <c r="K29" s="162" t="str">
        <f t="shared" ca="1" si="7"/>
        <v>1.16.</v>
      </c>
      <c r="L29" s="238" t="s">
        <v>245</v>
      </c>
      <c r="M29" s="239">
        <v>5213857</v>
      </c>
      <c r="N29" s="237" t="s">
        <v>252</v>
      </c>
      <c r="O29" s="241" t="s">
        <v>249</v>
      </c>
      <c r="P29" s="225">
        <f ca="1">OFFSET(PLQ!$E$12,ROW($P29)-ROW(P$12),0)</f>
        <v>3</v>
      </c>
      <c r="Q29" s="240">
        <v>280.45999999999998</v>
      </c>
      <c r="R29" s="232" t="s">
        <v>7</v>
      </c>
      <c r="S29" s="121">
        <f t="shared" ca="1" si="9"/>
        <v>348.28</v>
      </c>
      <c r="T29" s="98">
        <f t="shared" ca="1" si="10"/>
        <v>1044.8399999999999</v>
      </c>
      <c r="U29" s="13" t="str">
        <f t="shared" ca="1" si="11"/>
        <v>ACIMA REF.</v>
      </c>
      <c r="V29" s="4" t="str">
        <f ca="1">IF(OR($A29=0,$A29="S",$A29&gt;CFF!$A$9),"",MAX(V$12:OFFSET(V29,-1,0))+1)</f>
        <v/>
      </c>
      <c r="W29" s="9" t="str">
        <f t="shared" si="12"/>
        <v>SICRO-5213857</v>
      </c>
      <c r="X29" s="4" t="e">
        <f t="shared" ca="1" si="13"/>
        <v>#REF!</v>
      </c>
      <c r="Y29" s="121">
        <f t="shared" ca="1" si="14"/>
        <v>0</v>
      </c>
      <c r="Z29" s="132">
        <f ca="1">ROUND(IF(ISNUMBER(R29),R29,IF(LEFT(R29,3)="BDI",HLOOKUP(R29,DADOS!$T$37:$X$38,2,FALSE),0)),15-11*$X$5)</f>
        <v>0.24179999999999999</v>
      </c>
      <c r="AA29" s="4"/>
    </row>
    <row r="30" spans="1:27" x14ac:dyDescent="0.2">
      <c r="A30" t="str">
        <f t="shared" si="0"/>
        <v>S</v>
      </c>
      <c r="B30">
        <f t="shared" si="1"/>
        <v>0</v>
      </c>
      <c r="C30">
        <f t="shared" ca="1" si="2"/>
        <v>1</v>
      </c>
      <c r="D30">
        <f t="shared" ca="1" si="3"/>
        <v>0</v>
      </c>
      <c r="E30">
        <f t="shared" ca="1" si="4"/>
        <v>0</v>
      </c>
      <c r="F30">
        <f t="shared" ca="1" si="5"/>
        <v>0</v>
      </c>
      <c r="G30">
        <f t="shared" ca="1" si="6"/>
        <v>17</v>
      </c>
      <c r="H30">
        <f t="shared" ca="1" si="15"/>
        <v>0</v>
      </c>
      <c r="I30">
        <f t="shared" ca="1" si="16"/>
        <v>0</v>
      </c>
      <c r="J30" s="120" t="s">
        <v>103</v>
      </c>
      <c r="K30" s="162" t="str">
        <f t="shared" ca="1" si="7"/>
        <v>1.17.</v>
      </c>
      <c r="L30" s="238" t="s">
        <v>245</v>
      </c>
      <c r="M30" s="239">
        <v>5213440</v>
      </c>
      <c r="N30" s="242" t="s">
        <v>275</v>
      </c>
      <c r="O30" s="241" t="s">
        <v>249</v>
      </c>
      <c r="P30" s="225">
        <f ca="1">OFFSET(PLQ!$E$12,ROW($P30)-ROW(P$12),0)</f>
        <v>3</v>
      </c>
      <c r="Q30" s="240">
        <v>167.64</v>
      </c>
      <c r="R30" s="232" t="s">
        <v>7</v>
      </c>
      <c r="S30" s="121">
        <f t="shared" ca="1" si="9"/>
        <v>208.18</v>
      </c>
      <c r="T30" s="98">
        <f t="shared" ca="1" si="10"/>
        <v>624.54</v>
      </c>
      <c r="U30" s="13" t="str">
        <f t="shared" ca="1" si="11"/>
        <v>ACIMA REF.</v>
      </c>
      <c r="V30" s="4" t="str">
        <f ca="1">IF(OR($A30=0,$A30="S",$A30&gt;CFF!$A$9),"",MAX(V$12:OFFSET(V30,-1,0))+1)</f>
        <v/>
      </c>
      <c r="W30" s="9" t="str">
        <f t="shared" si="12"/>
        <v>SICRO-5213440</v>
      </c>
      <c r="X30" s="4" t="e">
        <f t="shared" ca="1" si="13"/>
        <v>#REF!</v>
      </c>
      <c r="Y30" s="121">
        <f t="shared" ca="1" si="14"/>
        <v>0</v>
      </c>
      <c r="Z30" s="132">
        <f ca="1">ROUND(IF(ISNUMBER(R30),R30,IF(LEFT(R30,3)="BDI",HLOOKUP(R30,DADOS!$T$37:$X$38,2,FALSE),0)),15-11*$X$5)</f>
        <v>0.24179999999999999</v>
      </c>
      <c r="AA30" s="4"/>
    </row>
    <row r="31" spans="1:27" x14ac:dyDescent="0.2">
      <c r="A31">
        <v>-1</v>
      </c>
      <c r="C31">
        <v>0</v>
      </c>
      <c r="D31">
        <v>0</v>
      </c>
      <c r="E31">
        <v>0</v>
      </c>
      <c r="F31">
        <v>0</v>
      </c>
      <c r="G31">
        <v>0</v>
      </c>
      <c r="J31" s="83"/>
      <c r="K31" s="83"/>
      <c r="L31" s="83"/>
      <c r="M31" s="83"/>
      <c r="N31" s="83"/>
      <c r="O31" s="83"/>
      <c r="P31" s="83"/>
      <c r="Q31" s="83"/>
      <c r="R31" s="83"/>
      <c r="S31" s="83"/>
      <c r="T31" s="83"/>
      <c r="U31" s="4"/>
      <c r="V31" s="4"/>
      <c r="W31" s="4"/>
      <c r="X31" s="4"/>
      <c r="Y31" s="4"/>
      <c r="Z31" s="4"/>
      <c r="AA31" s="4"/>
    </row>
    <row r="32" spans="1:27" ht="14.25" x14ac:dyDescent="0.2">
      <c r="A32" s="4"/>
      <c r="B32" s="4"/>
      <c r="C32" s="4"/>
      <c r="D32" s="4"/>
      <c r="E32" s="4"/>
      <c r="F32" s="4"/>
      <c r="G32" s="4"/>
      <c r="H32" s="4"/>
      <c r="I32" s="4"/>
      <c r="J32" s="4"/>
      <c r="K32" s="84" t="s">
        <v>62</v>
      </c>
      <c r="L32" s="4"/>
      <c r="M32" s="374" t="s">
        <v>142</v>
      </c>
      <c r="N32" s="375"/>
      <c r="O32" s="375"/>
      <c r="P32" s="375"/>
      <c r="Q32" s="375"/>
      <c r="R32" s="375"/>
      <c r="S32" s="375"/>
      <c r="T32" s="376"/>
      <c r="U32" s="4"/>
      <c r="V32" s="4"/>
      <c r="W32" s="4"/>
      <c r="X32" s="4"/>
      <c r="Y32" s="4"/>
      <c r="Z32" s="4"/>
      <c r="AA32" s="4"/>
    </row>
    <row r="33" spans="1:27"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4.25" x14ac:dyDescent="0.2">
      <c r="A34" s="4"/>
      <c r="B34" s="4"/>
      <c r="C34" s="4"/>
      <c r="D34" s="4"/>
      <c r="E34" s="4"/>
      <c r="F34" s="4"/>
      <c r="G34" s="4"/>
      <c r="H34" s="4"/>
      <c r="I34" s="4"/>
      <c r="J34" s="4"/>
      <c r="K34" s="90" t="s">
        <v>21</v>
      </c>
      <c r="L34" s="20"/>
      <c r="M34" s="20"/>
      <c r="N34" s="20"/>
      <c r="O34" s="20"/>
      <c r="P34" s="20"/>
      <c r="Q34" s="20"/>
      <c r="R34" s="20"/>
      <c r="S34" s="20"/>
      <c r="T34" s="89"/>
      <c r="U34" s="4"/>
      <c r="V34" s="4"/>
      <c r="W34" s="4"/>
      <c r="X34" s="4"/>
      <c r="Y34" s="4"/>
      <c r="Z34" s="4"/>
      <c r="AA34" s="4"/>
    </row>
    <row r="35" spans="1:27" ht="12.75" customHeight="1" x14ac:dyDescent="0.2">
      <c r="A35" s="4"/>
      <c r="B35" s="4"/>
      <c r="C35" s="4"/>
      <c r="D35" s="4"/>
      <c r="E35" s="4"/>
      <c r="F35" s="4"/>
      <c r="G35" s="4"/>
      <c r="H35" s="4"/>
      <c r="I35" s="4"/>
      <c r="J35" s="4"/>
      <c r="K35" s="368"/>
      <c r="L35" s="369"/>
      <c r="M35" s="369"/>
      <c r="N35" s="369"/>
      <c r="O35" s="369"/>
      <c r="P35" s="369"/>
      <c r="Q35" s="369"/>
      <c r="R35" s="369"/>
      <c r="S35" s="369"/>
      <c r="T35" s="370"/>
      <c r="U35" s="4"/>
      <c r="V35" s="4"/>
      <c r="W35" s="4"/>
      <c r="X35" s="4"/>
      <c r="Y35" s="4"/>
      <c r="Z35" s="4"/>
      <c r="AA35" s="4"/>
    </row>
    <row r="36" spans="1:27" x14ac:dyDescent="0.2">
      <c r="A36" s="4"/>
      <c r="B36" s="4"/>
      <c r="C36" s="4"/>
      <c r="D36" s="4"/>
      <c r="E36" s="4"/>
      <c r="F36" s="4"/>
      <c r="G36" s="4"/>
      <c r="H36" s="4"/>
      <c r="I36" s="4"/>
      <c r="J36" s="4"/>
      <c r="K36" s="368"/>
      <c r="L36" s="369"/>
      <c r="M36" s="369"/>
      <c r="N36" s="369"/>
      <c r="O36" s="369"/>
      <c r="P36" s="369"/>
      <c r="Q36" s="369"/>
      <c r="R36" s="369"/>
      <c r="S36" s="369"/>
      <c r="T36" s="370"/>
      <c r="U36" s="4"/>
      <c r="V36" s="4"/>
      <c r="W36" s="4"/>
      <c r="X36" s="4"/>
      <c r="Y36" s="4"/>
      <c r="Z36" s="4"/>
      <c r="AA36" s="4"/>
    </row>
    <row r="37" spans="1:27" x14ac:dyDescent="0.2">
      <c r="A37" s="4"/>
      <c r="B37" s="4"/>
      <c r="C37" s="4"/>
      <c r="D37" s="4"/>
      <c r="E37" s="4"/>
      <c r="F37" s="4"/>
      <c r="G37" s="4"/>
      <c r="H37" s="4"/>
      <c r="I37" s="4"/>
      <c r="J37" s="4"/>
      <c r="K37" s="371"/>
      <c r="L37" s="372"/>
      <c r="M37" s="372"/>
      <c r="N37" s="372"/>
      <c r="O37" s="372"/>
      <c r="P37" s="372"/>
      <c r="Q37" s="372"/>
      <c r="R37" s="372"/>
      <c r="S37" s="372"/>
      <c r="T37" s="373"/>
      <c r="U37" s="4"/>
      <c r="V37" s="4"/>
      <c r="W37" s="4"/>
      <c r="X37" s="4"/>
      <c r="Y37" s="4"/>
      <c r="Z37" s="4"/>
      <c r="AA37" s="4"/>
    </row>
    <row r="38" spans="1:27" ht="14.25" x14ac:dyDescent="0.2">
      <c r="A38" s="4"/>
      <c r="B38" s="4"/>
      <c r="C38" s="4"/>
      <c r="D38" s="4"/>
      <c r="E38" s="4"/>
      <c r="F38" s="4"/>
      <c r="G38" s="4"/>
      <c r="H38" s="4"/>
      <c r="I38" s="4"/>
      <c r="J38" s="4"/>
      <c r="K38" s="213"/>
      <c r="L38" s="213"/>
      <c r="M38" s="213"/>
      <c r="N38" s="213"/>
      <c r="O38" s="213"/>
      <c r="P38" s="213"/>
      <c r="Q38" s="213"/>
      <c r="R38" s="213"/>
      <c r="S38" s="213"/>
      <c r="T38" s="213"/>
      <c r="U38" s="4"/>
      <c r="V38" s="4"/>
      <c r="W38" s="4"/>
      <c r="X38" s="4"/>
      <c r="Y38" s="4"/>
      <c r="Z38" s="4"/>
      <c r="AA38" s="4"/>
    </row>
    <row r="39" spans="1:27" ht="15" x14ac:dyDescent="0.25">
      <c r="A39" s="4"/>
      <c r="B39" s="4"/>
      <c r="C39" s="4"/>
      <c r="D39" s="4"/>
      <c r="E39" s="4"/>
      <c r="F39" s="4"/>
      <c r="G39" s="4"/>
      <c r="H39" s="4"/>
      <c r="I39" s="4"/>
      <c r="J39" s="4"/>
      <c r="K39" s="365" t="str">
        <f>IF(AND($X$3=FALSE,$X$4=FALSE,$X$5=FALSE,$X$6=FALSE,$X$7=FALSE),"Não foi considerado arredondamento nos valores da planilha.",CONCATENATE("Foi considerado arredondamento de duas casas decimais para ",IF($X$3=TRUE,"Quantidade; ",""),IF($X$4=TRUE,"Custo Unitário; ",""),IF($X$5=TRUE,"BDI; ",""),IF($X$6=TRUE,"Preço Unitário; ",""),IF($X$7=TRUE,"Preço Total.","")))</f>
        <v>Foi considerado arredondamento de duas casas decimais para Quantidade; Custo Unitário; BDI; Preço Unitário; Preço Total.</v>
      </c>
      <c r="L39" s="366"/>
      <c r="M39" s="366"/>
      <c r="N39" s="366"/>
      <c r="O39" s="366"/>
      <c r="P39" s="366"/>
      <c r="Q39" s="366"/>
      <c r="R39" s="366"/>
      <c r="S39" s="366"/>
      <c r="T39" s="367"/>
      <c r="U39" s="4"/>
      <c r="V39" s="4"/>
      <c r="W39" s="4"/>
      <c r="X39" s="4"/>
      <c r="Y39" s="4"/>
      <c r="Z39" s="4"/>
      <c r="AA39" s="4"/>
    </row>
    <row r="40" spans="1:27"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21"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x14ac:dyDescent="0.2">
      <c r="A42" s="4"/>
      <c r="B42" s="4"/>
      <c r="C42" s="4"/>
      <c r="D42" s="4"/>
      <c r="E42" s="4"/>
      <c r="F42" s="4"/>
      <c r="G42" s="4"/>
      <c r="H42" s="4"/>
      <c r="I42" s="4"/>
      <c r="J42" s="4"/>
      <c r="K42" s="378" t="str">
        <f>Import.Município</f>
        <v>RODEIO SC</v>
      </c>
      <c r="L42" s="378"/>
      <c r="M42" s="378"/>
      <c r="N42" s="4"/>
      <c r="O42" s="4"/>
      <c r="P42" s="4"/>
      <c r="Q42" s="4"/>
      <c r="R42" s="4"/>
      <c r="S42" s="4"/>
      <c r="T42" s="4"/>
      <c r="U42" s="4"/>
      <c r="V42" s="4"/>
      <c r="W42" s="4"/>
      <c r="X42" s="4"/>
      <c r="Y42" s="4"/>
      <c r="Z42" s="4"/>
      <c r="AA42" s="4"/>
    </row>
    <row r="43" spans="1:27" x14ac:dyDescent="0.2">
      <c r="A43" s="4"/>
      <c r="B43" s="4"/>
      <c r="C43" s="4"/>
      <c r="D43" s="4"/>
      <c r="E43" s="4"/>
      <c r="F43" s="4"/>
      <c r="G43" s="4"/>
      <c r="H43" s="4"/>
      <c r="I43" s="4"/>
      <c r="J43" s="4"/>
      <c r="K43" s="112" t="s">
        <v>121</v>
      </c>
      <c r="L43" s="4"/>
      <c r="M43" s="4"/>
      <c r="N43" s="4"/>
      <c r="O43" s="4"/>
      <c r="P43" s="4"/>
      <c r="Q43" s="4"/>
      <c r="R43" s="4"/>
      <c r="S43" s="4"/>
      <c r="T43" s="4"/>
      <c r="U43" s="4"/>
      <c r="V43" s="4"/>
      <c r="W43" s="4"/>
      <c r="X43" s="4"/>
      <c r="Y43" s="4"/>
      <c r="Z43" s="4"/>
      <c r="AA43" s="4"/>
    </row>
    <row r="44" spans="1:27"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x14ac:dyDescent="0.2">
      <c r="A45" s="4"/>
      <c r="B45" s="4"/>
      <c r="C45" s="4"/>
      <c r="D45" s="4"/>
      <c r="E45" s="4"/>
      <c r="F45" s="4"/>
      <c r="G45" s="4"/>
      <c r="H45" s="4"/>
      <c r="I45" s="4"/>
      <c r="J45" s="4"/>
      <c r="K45" s="377">
        <f ca="1">TODAY()</f>
        <v>43643</v>
      </c>
      <c r="L45" s="377"/>
      <c r="M45" s="377"/>
      <c r="N45" s="4"/>
      <c r="O45" s="4"/>
      <c r="P45" s="4"/>
      <c r="Q45" s="4"/>
      <c r="R45" s="4"/>
      <c r="S45" s="4"/>
      <c r="T45" s="4"/>
      <c r="U45" s="4"/>
      <c r="V45" s="4"/>
      <c r="W45" s="4"/>
      <c r="X45" s="4"/>
      <c r="Y45" s="4"/>
      <c r="Z45" s="4"/>
      <c r="AA45" s="4"/>
    </row>
    <row r="46" spans="1:27" x14ac:dyDescent="0.2">
      <c r="A46" s="4"/>
      <c r="B46" s="4"/>
      <c r="C46" s="4"/>
      <c r="D46" s="4"/>
      <c r="E46" s="4"/>
      <c r="F46" s="4"/>
      <c r="G46" s="4"/>
      <c r="H46" s="4"/>
      <c r="I46" s="4"/>
      <c r="J46" s="4"/>
      <c r="K46" s="141" t="s">
        <v>122</v>
      </c>
      <c r="L46" s="83"/>
      <c r="M46" s="83"/>
      <c r="N46" s="4"/>
      <c r="O46" s="4"/>
      <c r="P46" s="4"/>
      <c r="Q46" s="4"/>
      <c r="R46" s="4"/>
      <c r="S46" s="4"/>
      <c r="T46" s="4"/>
      <c r="U46" s="4"/>
      <c r="V46" s="4"/>
      <c r="W46" s="4"/>
      <c r="X46" s="4"/>
      <c r="Y46" s="4"/>
      <c r="Z46" s="4"/>
      <c r="AA46" s="4"/>
    </row>
  </sheetData>
  <sheetProtection password="C95B" sheet="1" objects="1" scenarios="1"/>
  <mergeCells count="6">
    <mergeCell ref="W2:X2"/>
    <mergeCell ref="K39:T39"/>
    <mergeCell ref="K35:T37"/>
    <mergeCell ref="M32:T32"/>
    <mergeCell ref="K45:M45"/>
    <mergeCell ref="K42:M42"/>
  </mergeCells>
  <phoneticPr fontId="25" type="noConversion"/>
  <conditionalFormatting sqref="O12:R12 L12:M12">
    <cfRule type="expression" dxfId="210" priority="1871" stopIfTrue="1">
      <formula>$J12=$C$2</formula>
    </cfRule>
    <cfRule type="expression" dxfId="209" priority="1872" stopIfTrue="1">
      <formula>UPPER(LEFT($J12,5))="NÍVEL"</formula>
    </cfRule>
    <cfRule type="expression" dxfId="208" priority="1873" stopIfTrue="1">
      <formula>$J12=$C$8</formula>
    </cfRule>
  </conditionalFormatting>
  <conditionalFormatting sqref="Y12:Z12 S12:T12 K12">
    <cfRule type="expression" dxfId="207" priority="1874" stopIfTrue="1">
      <formula>$J12=$C$2</formula>
    </cfRule>
    <cfRule type="expression" dxfId="206" priority="1875" stopIfTrue="1">
      <formula>UPPER(LEFT($J12,5))="NÍVEL"</formula>
    </cfRule>
  </conditionalFormatting>
  <conditionalFormatting sqref="K11 K13">
    <cfRule type="expression" dxfId="205" priority="1887" stopIfTrue="1">
      <formula>$J11=$C$2</formula>
    </cfRule>
    <cfRule type="expression" dxfId="204" priority="1888" stopIfTrue="1">
      <formula>AND($J11&lt;&gt;"",$J11&lt;&gt;"Serviço")</formula>
    </cfRule>
    <cfRule type="expression" dxfId="203" priority="1889" stopIfTrue="1">
      <formula>$J11=""</formula>
    </cfRule>
  </conditionalFormatting>
  <conditionalFormatting sqref="P11 P13">
    <cfRule type="expression" dxfId="202" priority="214" stopIfTrue="1">
      <formula>$J11=$C$2</formula>
    </cfRule>
    <cfRule type="expression" dxfId="201" priority="1893" stopIfTrue="1">
      <formula>AND($J11&lt;&gt;"Serviço")</formula>
    </cfRule>
    <cfRule type="expression" dxfId="200" priority="1894" stopIfTrue="1">
      <formula>CELL("proteger",P11)</formula>
    </cfRule>
  </conditionalFormatting>
  <conditionalFormatting sqref="Q11:R11 Q13:R13">
    <cfRule type="expression" dxfId="199" priority="1895" stopIfTrue="1">
      <formula>$J11=$C$2</formula>
    </cfRule>
    <cfRule type="expression" dxfId="198" priority="1896" stopIfTrue="1">
      <formula>$J11&lt;&gt;"Serviço"</formula>
    </cfRule>
    <cfRule type="expression" dxfId="197" priority="1897" stopIfTrue="1">
      <formula>CELL("proteger",Q11)</formula>
    </cfRule>
  </conditionalFormatting>
  <conditionalFormatting sqref="S11:T11 Y11:Z11 S13:T13 Y13:Z13">
    <cfRule type="expression" dxfId="196" priority="1898" stopIfTrue="1">
      <formula>$J11=$C$2</formula>
    </cfRule>
    <cfRule type="expression" dxfId="195" priority="1899" stopIfTrue="1">
      <formula>$J11&lt;&gt;"Serviço"</formula>
    </cfRule>
  </conditionalFormatting>
  <conditionalFormatting sqref="L11:M11 L13:M13">
    <cfRule type="expression" dxfId="194" priority="1919" stopIfTrue="1">
      <formula>$J11=$C$2</formula>
    </cfRule>
    <cfRule type="expression" dxfId="193" priority="1920" stopIfTrue="1">
      <formula>$J11&lt;&gt;"Serviço"</formula>
    </cfRule>
    <cfRule type="expression" dxfId="192" priority="1921" stopIfTrue="1">
      <formula>OR(CELL("proteger",L11),$J11="",TipoOrçamento="Licitado")</formula>
    </cfRule>
  </conditionalFormatting>
  <conditionalFormatting sqref="K32:T32">
    <cfRule type="expression" dxfId="191" priority="1900" stopIfTrue="1">
      <formula>OR(Tipo.Orçamento="LICITADO",Tipo.Orçamento="REPROGRAMADOAC")</formula>
    </cfRule>
    <cfRule type="expression" dxfId="190" priority="1901" stopIfTrue="1">
      <formula>$M$32=""</formula>
    </cfRule>
  </conditionalFormatting>
  <conditionalFormatting sqref="J11 J13">
    <cfRule type="expression" dxfId="189" priority="1928" stopIfTrue="1">
      <formula>TipoOrçamento="Licitado"</formula>
    </cfRule>
  </conditionalFormatting>
  <conditionalFormatting sqref="O11 O13">
    <cfRule type="expression" dxfId="188" priority="234" stopIfTrue="1">
      <formula>$J11=$C$2</formula>
    </cfRule>
    <cfRule type="expression" dxfId="187" priority="235" stopIfTrue="1">
      <formula>AND($J11&lt;&gt;"Serviço")</formula>
    </cfRule>
    <cfRule type="expression" dxfId="186" priority="236" stopIfTrue="1">
      <formula>CELL("proteger",O11)</formula>
    </cfRule>
  </conditionalFormatting>
  <conditionalFormatting sqref="N11">
    <cfRule type="expression" dxfId="185" priority="237" stopIfTrue="1">
      <formula>$J11=$C$2</formula>
    </cfRule>
    <cfRule type="expression" dxfId="184" priority="238" stopIfTrue="1">
      <formula>$J11&lt;&gt;"Serviço"</formula>
    </cfRule>
    <cfRule type="expression" dxfId="183" priority="239" stopIfTrue="1">
      <formula>CELL("proteger",N11)</formula>
    </cfRule>
  </conditionalFormatting>
  <conditionalFormatting sqref="K14:K30">
    <cfRule type="expression" dxfId="182" priority="113" stopIfTrue="1">
      <formula>$J14=$C$2</formula>
    </cfRule>
    <cfRule type="expression" dxfId="181" priority="114" stopIfTrue="1">
      <formula>AND($J14&lt;&gt;"",$J14&lt;&gt;"Serviço")</formula>
    </cfRule>
    <cfRule type="expression" dxfId="180" priority="115" stopIfTrue="1">
      <formula>$J14=""</formula>
    </cfRule>
  </conditionalFormatting>
  <conditionalFormatting sqref="P14:P30">
    <cfRule type="expression" dxfId="179" priority="106" stopIfTrue="1">
      <formula>$J14=$C$2</formula>
    </cfRule>
    <cfRule type="expression" dxfId="178" priority="116" stopIfTrue="1">
      <formula>AND($J14&lt;&gt;"Serviço")</formula>
    </cfRule>
    <cfRule type="expression" dxfId="177" priority="117" stopIfTrue="1">
      <formula>CELL("proteger",P14)</formula>
    </cfRule>
  </conditionalFormatting>
  <conditionalFormatting sqref="Q14:R30">
    <cfRule type="expression" dxfId="176" priority="118" stopIfTrue="1">
      <formula>$J14=$C$2</formula>
    </cfRule>
    <cfRule type="expression" dxfId="175" priority="119" stopIfTrue="1">
      <formula>$J14&lt;&gt;"Serviço"</formula>
    </cfRule>
    <cfRule type="expression" dxfId="174" priority="120" stopIfTrue="1">
      <formula>CELL("proteger",Q14)</formula>
    </cfRule>
  </conditionalFormatting>
  <conditionalFormatting sqref="S14:T30 Y14:Z30">
    <cfRule type="expression" dxfId="173" priority="121" stopIfTrue="1">
      <formula>$J14=$C$2</formula>
    </cfRule>
    <cfRule type="expression" dxfId="172" priority="122" stopIfTrue="1">
      <formula>$J14&lt;&gt;"Serviço"</formula>
    </cfRule>
  </conditionalFormatting>
  <conditionalFormatting sqref="L27:M30 L14:M18">
    <cfRule type="expression" dxfId="171" priority="123" stopIfTrue="1">
      <formula>$J14=$C$2</formula>
    </cfRule>
    <cfRule type="expression" dxfId="170" priority="124" stopIfTrue="1">
      <formula>$J14&lt;&gt;"Serviço"</formula>
    </cfRule>
    <cfRule type="expression" dxfId="169" priority="125" stopIfTrue="1">
      <formula>OR(CELL("proteger",L14),$J14="",TipoOrçamento="Licitado")</formula>
    </cfRule>
  </conditionalFormatting>
  <conditionalFormatting sqref="J14:J30">
    <cfRule type="expression" dxfId="168" priority="126" stopIfTrue="1">
      <formula>TipoOrçamento="Licitado"</formula>
    </cfRule>
  </conditionalFormatting>
  <conditionalFormatting sqref="O14:O18 O27:O30">
    <cfRule type="expression" dxfId="167" priority="107" stopIfTrue="1">
      <formula>$J14=$C$2</formula>
    </cfRule>
    <cfRule type="expression" dxfId="166" priority="108" stopIfTrue="1">
      <formula>AND($J14&lt;&gt;"Serviço")</formula>
    </cfRule>
    <cfRule type="expression" dxfId="165" priority="109" stopIfTrue="1">
      <formula>CELL("proteger",O14)</formula>
    </cfRule>
  </conditionalFormatting>
  <conditionalFormatting sqref="N14:N18 N27:N30">
    <cfRule type="expression" dxfId="164" priority="110" stopIfTrue="1">
      <formula>$J14=$C$2</formula>
    </cfRule>
    <cfRule type="expression" dxfId="163" priority="111" stopIfTrue="1">
      <formula>$J14&lt;&gt;"Serviço"</formula>
    </cfRule>
    <cfRule type="expression" dxfId="162" priority="112" stopIfTrue="1">
      <formula>CELL("proteger",N14)</formula>
    </cfRule>
  </conditionalFormatting>
  <conditionalFormatting sqref="N13">
    <cfRule type="expression" dxfId="161" priority="103" stopIfTrue="1">
      <formula>$J13=$C$2</formula>
    </cfRule>
    <cfRule type="expression" dxfId="160" priority="104" stopIfTrue="1">
      <formula>$J13&lt;&gt;"Serviço"</formula>
    </cfRule>
    <cfRule type="expression" dxfId="159" priority="105" stopIfTrue="1">
      <formula>CELL("proteger",N13)</formula>
    </cfRule>
  </conditionalFormatting>
  <conditionalFormatting sqref="L26:M26">
    <cfRule type="expression" dxfId="158" priority="100" stopIfTrue="1">
      <formula>$J26=$C$2</formula>
    </cfRule>
    <cfRule type="expression" dxfId="157" priority="101" stopIfTrue="1">
      <formula>$J26&lt;&gt;"Serviço"</formula>
    </cfRule>
    <cfRule type="expression" dxfId="156" priority="102" stopIfTrue="1">
      <formula>OR(CELL("proteger",L26),$J26="",TipoOrçamento="Licitado")</formula>
    </cfRule>
  </conditionalFormatting>
  <conditionalFormatting sqref="O26">
    <cfRule type="expression" dxfId="155" priority="94" stopIfTrue="1">
      <formula>$J26=$C$2</formula>
    </cfRule>
    <cfRule type="expression" dxfId="154" priority="95" stopIfTrue="1">
      <formula>AND($J26&lt;&gt;"Serviço")</formula>
    </cfRule>
    <cfRule type="expression" dxfId="153" priority="96" stopIfTrue="1">
      <formula>CELL("proteger",O26)</formula>
    </cfRule>
  </conditionalFormatting>
  <conditionalFormatting sqref="N26">
    <cfRule type="expression" dxfId="152" priority="97" stopIfTrue="1">
      <formula>$J26=$C$2</formula>
    </cfRule>
    <cfRule type="expression" dxfId="151" priority="98" stopIfTrue="1">
      <formula>$J26&lt;&gt;"Serviço"</formula>
    </cfRule>
    <cfRule type="expression" dxfId="150" priority="99" stopIfTrue="1">
      <formula>CELL("proteger",N26)</formula>
    </cfRule>
  </conditionalFormatting>
  <conditionalFormatting sqref="M23">
    <cfRule type="expression" dxfId="149" priority="73" stopIfTrue="1">
      <formula>$J23=$C$2</formula>
    </cfRule>
    <cfRule type="expression" dxfId="148" priority="74" stopIfTrue="1">
      <formula>$J23&lt;&gt;"Serviço"</formula>
    </cfRule>
    <cfRule type="expression" dxfId="147" priority="75" stopIfTrue="1">
      <formula>OR(CELL("proteger",M23),$J23="",TipoOrçamento="Licitado")</formula>
    </cfRule>
  </conditionalFormatting>
  <conditionalFormatting sqref="O23">
    <cfRule type="expression" dxfId="146" priority="67" stopIfTrue="1">
      <formula>$J23=$C$2</formula>
    </cfRule>
    <cfRule type="expression" dxfId="145" priority="68" stopIfTrue="1">
      <formula>AND($J23&lt;&gt;"Serviço")</formula>
    </cfRule>
    <cfRule type="expression" dxfId="144" priority="69" stopIfTrue="1">
      <formula>CELL("proteger",O23)</formula>
    </cfRule>
  </conditionalFormatting>
  <conditionalFormatting sqref="N23">
    <cfRule type="expression" dxfId="143" priority="70" stopIfTrue="1">
      <formula>$J23=$C$2</formula>
    </cfRule>
    <cfRule type="expression" dxfId="142" priority="71" stopIfTrue="1">
      <formula>$J23&lt;&gt;"Serviço"</formula>
    </cfRule>
    <cfRule type="expression" dxfId="141" priority="72" stopIfTrue="1">
      <formula>CELL("proteger",N23)</formula>
    </cfRule>
  </conditionalFormatting>
  <conditionalFormatting sqref="L22:M22">
    <cfRule type="expression" dxfId="140" priority="64" stopIfTrue="1">
      <formula>$J22=$C$2</formula>
    </cfRule>
    <cfRule type="expression" dxfId="139" priority="65" stopIfTrue="1">
      <formula>$J22&lt;&gt;"Serviço"</formula>
    </cfRule>
    <cfRule type="expression" dxfId="138" priority="66" stopIfTrue="1">
      <formula>OR(CELL("proteger",L22),$J22="",TipoOrçamento="Licitado")</formula>
    </cfRule>
  </conditionalFormatting>
  <conditionalFormatting sqref="O22">
    <cfRule type="expression" dxfId="137" priority="58" stopIfTrue="1">
      <formula>$J22=$C$2</formula>
    </cfRule>
    <cfRule type="expression" dxfId="136" priority="59" stopIfTrue="1">
      <formula>AND($J22&lt;&gt;"Serviço")</formula>
    </cfRule>
    <cfRule type="expression" dxfId="135" priority="60" stopIfTrue="1">
      <formula>CELL("proteger",O22)</formula>
    </cfRule>
  </conditionalFormatting>
  <conditionalFormatting sqref="N22">
    <cfRule type="expression" dxfId="134" priority="61" stopIfTrue="1">
      <formula>$J22=$C$2</formula>
    </cfRule>
    <cfRule type="expression" dxfId="133" priority="62" stopIfTrue="1">
      <formula>$J22&lt;&gt;"Serviço"</formula>
    </cfRule>
    <cfRule type="expression" dxfId="132" priority="63" stopIfTrue="1">
      <formula>CELL("proteger",N22)</formula>
    </cfRule>
  </conditionalFormatting>
  <conditionalFormatting sqref="L21:M21">
    <cfRule type="expression" dxfId="131" priority="55" stopIfTrue="1">
      <formula>$J21=$C$2</formula>
    </cfRule>
    <cfRule type="expression" dxfId="130" priority="56" stopIfTrue="1">
      <formula>$J21&lt;&gt;"Serviço"</formula>
    </cfRule>
    <cfRule type="expression" dxfId="129" priority="57" stopIfTrue="1">
      <formula>OR(CELL("proteger",L21),$J21="",TipoOrçamento="Licitado")</formula>
    </cfRule>
  </conditionalFormatting>
  <conditionalFormatting sqref="O21">
    <cfRule type="expression" dxfId="128" priority="49" stopIfTrue="1">
      <formula>$J21=$C$2</formula>
    </cfRule>
    <cfRule type="expression" dxfId="127" priority="50" stopIfTrue="1">
      <formula>AND($J21&lt;&gt;"Serviço")</formula>
    </cfRule>
    <cfRule type="expression" dxfId="126" priority="51" stopIfTrue="1">
      <formula>CELL("proteger",O21)</formula>
    </cfRule>
  </conditionalFormatting>
  <conditionalFormatting sqref="N21">
    <cfRule type="expression" dxfId="125" priority="52" stopIfTrue="1">
      <formula>$J21=$C$2</formula>
    </cfRule>
    <cfRule type="expression" dxfId="124" priority="53" stopIfTrue="1">
      <formula>$J21&lt;&gt;"Serviço"</formula>
    </cfRule>
    <cfRule type="expression" dxfId="123" priority="54" stopIfTrue="1">
      <formula>CELL("proteger",N21)</formula>
    </cfRule>
  </conditionalFormatting>
  <conditionalFormatting sqref="L20:M20">
    <cfRule type="expression" dxfId="122" priority="46" stopIfTrue="1">
      <formula>$J20=$C$2</formula>
    </cfRule>
    <cfRule type="expression" dxfId="121" priority="47" stopIfTrue="1">
      <formula>$J20&lt;&gt;"Serviço"</formula>
    </cfRule>
    <cfRule type="expression" dxfId="120" priority="48" stopIfTrue="1">
      <formula>OR(CELL("proteger",L20),$J20="",TipoOrçamento="Licitado")</formula>
    </cfRule>
  </conditionalFormatting>
  <conditionalFormatting sqref="O20">
    <cfRule type="expression" dxfId="119" priority="40" stopIfTrue="1">
      <formula>$J20=$C$2</formula>
    </cfRule>
    <cfRule type="expression" dxfId="118" priority="41" stopIfTrue="1">
      <formula>AND($J20&lt;&gt;"Serviço")</formula>
    </cfRule>
    <cfRule type="expression" dxfId="117" priority="42" stopIfTrue="1">
      <formula>CELL("proteger",O20)</formula>
    </cfRule>
  </conditionalFormatting>
  <conditionalFormatting sqref="N20">
    <cfRule type="expression" dxfId="116" priority="43" stopIfTrue="1">
      <formula>$J20=$C$2</formula>
    </cfRule>
    <cfRule type="expression" dxfId="115" priority="44" stopIfTrue="1">
      <formula>$J20&lt;&gt;"Serviço"</formula>
    </cfRule>
    <cfRule type="expression" dxfId="114" priority="45" stopIfTrue="1">
      <formula>CELL("proteger",N20)</formula>
    </cfRule>
  </conditionalFormatting>
  <conditionalFormatting sqref="L19:M19">
    <cfRule type="expression" dxfId="113" priority="37" stopIfTrue="1">
      <formula>$J19=$C$2</formula>
    </cfRule>
    <cfRule type="expression" dxfId="112" priority="38" stopIfTrue="1">
      <formula>$J19&lt;&gt;"Serviço"</formula>
    </cfRule>
    <cfRule type="expression" dxfId="111" priority="39" stopIfTrue="1">
      <formula>OR(CELL("proteger",L19),$J19="",TipoOrçamento="Licitado")</formula>
    </cfRule>
  </conditionalFormatting>
  <conditionalFormatting sqref="O19">
    <cfRule type="expression" dxfId="110" priority="31" stopIfTrue="1">
      <formula>$J19=$C$2</formula>
    </cfRule>
    <cfRule type="expression" dxfId="109" priority="32" stopIfTrue="1">
      <formula>AND($J19&lt;&gt;"Serviço")</formula>
    </cfRule>
    <cfRule type="expression" dxfId="108" priority="33" stopIfTrue="1">
      <formula>CELL("proteger",O19)</formula>
    </cfRule>
  </conditionalFormatting>
  <conditionalFormatting sqref="N19">
    <cfRule type="expression" dxfId="107" priority="34" stopIfTrue="1">
      <formula>$J19=$C$2</formula>
    </cfRule>
    <cfRule type="expression" dxfId="106" priority="35" stopIfTrue="1">
      <formula>$J19&lt;&gt;"Serviço"</formula>
    </cfRule>
    <cfRule type="expression" dxfId="105" priority="36" stopIfTrue="1">
      <formula>CELL("proteger",N19)</formula>
    </cfRule>
  </conditionalFormatting>
  <conditionalFormatting sqref="L24">
    <cfRule type="expression" dxfId="104" priority="28" stopIfTrue="1">
      <formula>$J24=$C$2</formula>
    </cfRule>
    <cfRule type="expression" dxfId="103" priority="29" stopIfTrue="1">
      <formula>$J24&lt;&gt;"Serviço"</formula>
    </cfRule>
    <cfRule type="expression" dxfId="102" priority="30" stopIfTrue="1">
      <formula>OR(CELL("proteger",L24),$J24="",TipoOrçamento="Licitado")</formula>
    </cfRule>
  </conditionalFormatting>
  <conditionalFormatting sqref="M24">
    <cfRule type="expression" dxfId="101" priority="25" stopIfTrue="1">
      <formula>$J24=$C$2</formula>
    </cfRule>
    <cfRule type="expression" dxfId="100" priority="26" stopIfTrue="1">
      <formula>$J24&lt;&gt;"Serviço"</formula>
    </cfRule>
    <cfRule type="expression" dxfId="99" priority="27" stopIfTrue="1">
      <formula>OR(CELL("proteger",M24),$J24="",TipoOrçamento="Licitado")</formula>
    </cfRule>
  </conditionalFormatting>
  <conditionalFormatting sqref="N24">
    <cfRule type="expression" dxfId="98" priority="22" stopIfTrue="1">
      <formula>$J24=$C$2</formula>
    </cfRule>
    <cfRule type="expression" dxfId="97" priority="23" stopIfTrue="1">
      <formula>$J24&lt;&gt;"Serviço"</formula>
    </cfRule>
    <cfRule type="expression" dxfId="96" priority="24" stopIfTrue="1">
      <formula>CELL("proteger",N24)</formula>
    </cfRule>
  </conditionalFormatting>
  <conditionalFormatting sqref="O24">
    <cfRule type="expression" dxfId="95" priority="19" stopIfTrue="1">
      <formula>$J24=$C$2</formula>
    </cfRule>
    <cfRule type="expression" dxfId="94" priority="20" stopIfTrue="1">
      <formula>AND($J24&lt;&gt;"Serviço")</formula>
    </cfRule>
    <cfRule type="expression" dxfId="93" priority="21" stopIfTrue="1">
      <formula>CELL("proteger",O24)</formula>
    </cfRule>
  </conditionalFormatting>
  <conditionalFormatting sqref="L23">
    <cfRule type="expression" dxfId="92" priority="13" stopIfTrue="1">
      <formula>$J23=$C$2</formula>
    </cfRule>
    <cfRule type="expression" dxfId="91" priority="14" stopIfTrue="1">
      <formula>$J23&lt;&gt;"Serviço"</formula>
    </cfRule>
    <cfRule type="expression" dxfId="90" priority="15" stopIfTrue="1">
      <formula>OR(CELL("proteger",L23),$J23="",TipoOrçamento="Licitado")</formula>
    </cfRule>
  </conditionalFormatting>
  <conditionalFormatting sqref="L25">
    <cfRule type="expression" dxfId="89" priority="10" stopIfTrue="1">
      <formula>$J25=$C$2</formula>
    </cfRule>
    <cfRule type="expression" dxfId="88" priority="11" stopIfTrue="1">
      <formula>$J25&lt;&gt;"Serviço"</formula>
    </cfRule>
    <cfRule type="expression" dxfId="87" priority="12" stopIfTrue="1">
      <formula>OR(CELL("proteger",L25),$J25="",TipoOrçamento="Licitado")</formula>
    </cfRule>
  </conditionalFormatting>
  <conditionalFormatting sqref="M25">
    <cfRule type="expression" dxfId="86" priority="7" stopIfTrue="1">
      <formula>$J25=$C$2</formula>
    </cfRule>
    <cfRule type="expression" dxfId="85" priority="8" stopIfTrue="1">
      <formula>$J25&lt;&gt;"Serviço"</formula>
    </cfRule>
    <cfRule type="expression" dxfId="84" priority="9" stopIfTrue="1">
      <formula>OR(CELL("proteger",M25),$J25="",TipoOrçamento="Licitado")</formula>
    </cfRule>
  </conditionalFormatting>
  <conditionalFormatting sqref="N25">
    <cfRule type="expression" dxfId="83" priority="4" stopIfTrue="1">
      <formula>$J25=$C$2</formula>
    </cfRule>
    <cfRule type="expression" dxfId="82" priority="5" stopIfTrue="1">
      <formula>$J25&lt;&gt;"Serviço"</formula>
    </cfRule>
    <cfRule type="expression" dxfId="81" priority="6" stopIfTrue="1">
      <formula>CELL("proteger",N25)</formula>
    </cfRule>
  </conditionalFormatting>
  <conditionalFormatting sqref="O25">
    <cfRule type="expression" dxfId="80" priority="1" stopIfTrue="1">
      <formula>$J25=$C$2</formula>
    </cfRule>
    <cfRule type="expression" dxfId="79" priority="2" stopIfTrue="1">
      <formula>AND($J25&lt;&gt;"Serviço")</formula>
    </cfRule>
    <cfRule type="expression" dxfId="78" priority="3" stopIfTrue="1">
      <formula>CELL("proteger",O25)</formula>
    </cfRule>
  </conditionalFormatting>
  <dataValidations count="3">
    <dataValidation type="decimal" operator="greaterThan" allowBlank="1" showInputMessage="1" showErrorMessage="1" error="Apenas números decimais maiores que zero." sqref="Q11 Q13:Q30" xr:uid="{00000000-0002-0000-0200-000000000000}">
      <formula1>0</formula1>
    </dataValidation>
    <dataValidation type="list" errorStyle="warning" allowBlank="1" showInputMessage="1" showErrorMessage="1" error="Selecione um dos 5 BDI da lista._x000a__x000a_Caso tenha mais de 5 BDI nesta Planilha Orçamentária digite apenas valor percentual." sqref="R11 R13:R30" xr:uid="{00000000-0002-0000-0200-000001000000}">
      <formula1>Dados.Lista.BDI</formula1>
    </dataValidation>
    <dataValidation type="list" showInputMessage="1" showErrorMessage="1" errorTitle="Erro de Entrada" error="Selecione somente os itens da lista." promptTitle="Nível:" prompt="Selecione na lista o nível de itemização da Planilha." sqref="J11 J14:J30" xr:uid="{00000000-0002-0000-0200-000002000000}">
      <formula1>$C$2:$G$2</formula1>
    </dataValidation>
  </dataValidations>
  <pageMargins left="0.78740157480314998" right="0.78740157480314998" top="0.78740157480314998" bottom="0.78740157480314998" header="0.59055118110236204" footer="0.59055118110236204"/>
  <pageSetup paperSize="9" scale="63" fitToHeight="0" orientation="landscape" r:id="rId1"/>
  <headerFooter alignWithMargins="0">
    <oddHeader>&amp;C&amp;14I</oddHeader>
    <oddFooter>&amp;R&amp;P&amp;L27.476 v008   micro</oddFooter>
  </headerFooter>
  <ignoredErrors>
    <ignoredError sqref="K42 K4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7642" r:id="rId4" name="CaixaArredQuant">
              <controlPr locked="0" defaultSize="0" print="0" autoFill="0" autoLine="0" autoPict="0">
                <anchor moveWithCells="1">
                  <from>
                    <xdr:col>15</xdr:col>
                    <xdr:colOff>428625</xdr:colOff>
                    <xdr:row>7</xdr:row>
                    <xdr:rowOff>114300</xdr:rowOff>
                  </from>
                  <to>
                    <xdr:col>15</xdr:col>
                    <xdr:colOff>847725</xdr:colOff>
                    <xdr:row>7</xdr:row>
                    <xdr:rowOff>342900</xdr:rowOff>
                  </to>
                </anchor>
              </controlPr>
            </control>
          </mc:Choice>
        </mc:AlternateContent>
        <mc:AlternateContent xmlns:mc="http://schemas.openxmlformats.org/markup-compatibility/2006">
          <mc:Choice Requires="x14">
            <control shapeId="197650" r:id="rId5" name="CaixaArredCustoUnit">
              <controlPr locked="0" defaultSize="0" print="0" autoFill="0" autoLine="0" autoPict="0">
                <anchor moveWithCells="1">
                  <from>
                    <xdr:col>16</xdr:col>
                    <xdr:colOff>419100</xdr:colOff>
                    <xdr:row>7</xdr:row>
                    <xdr:rowOff>114300</xdr:rowOff>
                  </from>
                  <to>
                    <xdr:col>16</xdr:col>
                    <xdr:colOff>838200</xdr:colOff>
                    <xdr:row>7</xdr:row>
                    <xdr:rowOff>342900</xdr:rowOff>
                  </to>
                </anchor>
              </controlPr>
            </control>
          </mc:Choice>
        </mc:AlternateContent>
        <mc:AlternateContent xmlns:mc="http://schemas.openxmlformats.org/markup-compatibility/2006">
          <mc:Choice Requires="x14">
            <control shapeId="197651" r:id="rId6" name="CaixaArredBDI">
              <controlPr locked="0" defaultSize="0" print="0" autoFill="0" autoLine="0" autoPict="0">
                <anchor moveWithCells="1">
                  <from>
                    <xdr:col>17</xdr:col>
                    <xdr:colOff>257175</xdr:colOff>
                    <xdr:row>7</xdr:row>
                    <xdr:rowOff>114300</xdr:rowOff>
                  </from>
                  <to>
                    <xdr:col>17</xdr:col>
                    <xdr:colOff>676275</xdr:colOff>
                    <xdr:row>7</xdr:row>
                    <xdr:rowOff>342900</xdr:rowOff>
                  </to>
                </anchor>
              </controlPr>
            </control>
          </mc:Choice>
        </mc:AlternateContent>
        <mc:AlternateContent xmlns:mc="http://schemas.openxmlformats.org/markup-compatibility/2006">
          <mc:Choice Requires="x14">
            <control shapeId="197652" r:id="rId7" name="CaixaArredPrecoUnit">
              <controlPr locked="0" defaultSize="0" print="0" autoFill="0" autoLine="0" autoPict="0">
                <anchor moveWithCells="1">
                  <from>
                    <xdr:col>18</xdr:col>
                    <xdr:colOff>333375</xdr:colOff>
                    <xdr:row>7</xdr:row>
                    <xdr:rowOff>114300</xdr:rowOff>
                  </from>
                  <to>
                    <xdr:col>18</xdr:col>
                    <xdr:colOff>752475</xdr:colOff>
                    <xdr:row>7</xdr:row>
                    <xdr:rowOff>342900</xdr:rowOff>
                  </to>
                </anchor>
              </controlPr>
            </control>
          </mc:Choice>
        </mc:AlternateContent>
        <mc:AlternateContent xmlns:mc="http://schemas.openxmlformats.org/markup-compatibility/2006">
          <mc:Choice Requires="x14">
            <control shapeId="197660" r:id="rId8" name="CaixaArredPrecoTotal">
              <controlPr locked="0" defaultSize="0" print="0" autoFill="0" autoLine="0" autoPict="0">
                <anchor moveWithCells="1">
                  <from>
                    <xdr:col>19</xdr:col>
                    <xdr:colOff>419100</xdr:colOff>
                    <xdr:row>7</xdr:row>
                    <xdr:rowOff>104775</xdr:rowOff>
                  </from>
                  <to>
                    <xdr:col>19</xdr:col>
                    <xdr:colOff>838200</xdr:colOff>
                    <xdr:row>7</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
    <tabColor rgb="FFFFFF00"/>
  </sheetPr>
  <dimension ref="A1:U37"/>
  <sheetViews>
    <sheetView showGridLines="0" zoomScale="85" zoomScaleNormal="85" zoomScaleSheetLayoutView="100" workbookViewId="0">
      <pane xSplit="5" ySplit="10" topLeftCell="F20" activePane="bottomRight" state="frozen"/>
      <selection pane="topRight"/>
      <selection pane="bottomLeft"/>
      <selection pane="bottomRight" activeCell="G9" sqref="G9"/>
    </sheetView>
  </sheetViews>
  <sheetFormatPr defaultRowHeight="12.75" x14ac:dyDescent="0.2"/>
  <cols>
    <col min="1" max="1" width="12.7109375" customWidth="1"/>
    <col min="2" max="2" width="10.7109375" customWidth="1"/>
    <col min="3" max="3" width="60.5703125" customWidth="1"/>
    <col min="4" max="4" width="7.7109375" customWidth="1"/>
    <col min="5" max="5" width="12.7109375" customWidth="1"/>
    <col min="6" max="15" width="11.7109375" customWidth="1"/>
    <col min="16" max="16" width="0.85546875" customWidth="1"/>
    <col min="21" max="21" width="11.7109375" hidden="1" customWidth="1"/>
  </cols>
  <sheetData>
    <row r="1" spans="1:21" s="4" customFormat="1" ht="17.25" customHeight="1" x14ac:dyDescent="0.25">
      <c r="E1" s="85" t="s">
        <v>63</v>
      </c>
      <c r="F1" s="36" t="s">
        <v>64</v>
      </c>
      <c r="K1" s="18"/>
      <c r="O1"/>
    </row>
    <row r="2" spans="1:21" s="4" customFormat="1" ht="15.75" x14ac:dyDescent="0.25">
      <c r="D2" s="6"/>
      <c r="E2" s="85"/>
      <c r="F2" s="36"/>
      <c r="K2" s="19"/>
      <c r="O2"/>
    </row>
    <row r="3" spans="1:21" s="4" customFormat="1" x14ac:dyDescent="0.2">
      <c r="K3" s="20"/>
      <c r="P3" s="20"/>
    </row>
    <row r="4" spans="1:21" s="4" customFormat="1" ht="39.950000000000003" customHeight="1" x14ac:dyDescent="0.2">
      <c r="P4" s="20"/>
    </row>
    <row r="5" spans="1:21" s="4" customFormat="1" ht="39.950000000000003" customHeight="1" x14ac:dyDescent="0.2">
      <c r="P5" s="20"/>
    </row>
    <row r="6" spans="1:21" s="4" customFormat="1" ht="20.25" customHeight="1" x14ac:dyDescent="0.2">
      <c r="P6" s="20"/>
    </row>
    <row r="7" spans="1:21" s="4" customFormat="1" ht="12.75" hidden="1" customHeight="1" x14ac:dyDescent="0.2">
      <c r="E7" s="224">
        <f ca="1">OFFSET(PO!$P$12,ROW($E7)-ROW(E$12),0)</f>
        <v>0</v>
      </c>
      <c r="P7" s="20"/>
    </row>
    <row r="8" spans="1:21" s="4" customFormat="1" ht="9.9499999999999993" customHeight="1" x14ac:dyDescent="0.2">
      <c r="P8" s="20"/>
    </row>
    <row r="9" spans="1:21" s="4" customFormat="1" ht="60" customHeight="1" x14ac:dyDescent="0.2">
      <c r="B9" s="17"/>
      <c r="C9" s="14"/>
      <c r="D9" s="9"/>
      <c r="E9" s="146" t="s">
        <v>46</v>
      </c>
      <c r="F9" s="122" t="s">
        <v>268</v>
      </c>
      <c r="G9" s="122" t="s">
        <v>269</v>
      </c>
      <c r="H9" s="122" t="s">
        <v>270</v>
      </c>
      <c r="I9" s="122" t="s">
        <v>247</v>
      </c>
      <c r="J9" s="122" t="s">
        <v>271</v>
      </c>
      <c r="K9" s="122"/>
      <c r="L9" s="122"/>
      <c r="M9" s="122"/>
      <c r="N9" s="122"/>
      <c r="O9" s="122"/>
      <c r="U9" s="122"/>
    </row>
    <row r="10" spans="1:21" s="15" customFormat="1" ht="30" customHeight="1" x14ac:dyDescent="0.2">
      <c r="A10" s="123" t="s">
        <v>3</v>
      </c>
      <c r="B10" s="123" t="s">
        <v>148</v>
      </c>
      <c r="C10" s="123" t="s">
        <v>143</v>
      </c>
      <c r="D10" s="124" t="s">
        <v>159</v>
      </c>
      <c r="E10" s="123" t="s">
        <v>149</v>
      </c>
      <c r="F10" s="125">
        <f t="shared" ref="F10:O10" ca="1" si="0">IF(OFFSET(F10,0,-1)="Quantidade",1,OFFSET(F10,0,-1)+1)</f>
        <v>1</v>
      </c>
      <c r="G10" s="125">
        <f t="shared" ca="1" si="0"/>
        <v>2</v>
      </c>
      <c r="H10" s="125">
        <f t="shared" ca="1" si="0"/>
        <v>3</v>
      </c>
      <c r="I10" s="125">
        <f t="shared" ca="1" si="0"/>
        <v>4</v>
      </c>
      <c r="J10" s="125">
        <f t="shared" ca="1" si="0"/>
        <v>5</v>
      </c>
      <c r="K10" s="125">
        <f t="shared" ca="1" si="0"/>
        <v>6</v>
      </c>
      <c r="L10" s="125">
        <f t="shared" ca="1" si="0"/>
        <v>7</v>
      </c>
      <c r="M10" s="125">
        <f t="shared" ca="1" si="0"/>
        <v>8</v>
      </c>
      <c r="N10" s="125">
        <f t="shared" ca="1" si="0"/>
        <v>9</v>
      </c>
      <c r="O10" s="125">
        <f t="shared" ca="1" si="0"/>
        <v>10</v>
      </c>
      <c r="U10" s="125">
        <f ca="1">IF(OFFSET(U10,0,-1)="Quantidade",1,OFFSET(U10,0,-1)+1)</f>
        <v>1</v>
      </c>
    </row>
    <row r="11" spans="1:21" s="4" customFormat="1" hidden="1" x14ac:dyDescent="0.2">
      <c r="A11" s="128" t="str">
        <f ca="1">OFFSET(PO!J$12,ROW(A11)-ROW($A$12),0)</f>
        <v>Serviço</v>
      </c>
      <c r="B11" s="130" t="e">
        <f ca="1">IF($A11=0,"",OFFSET(PO!K$12,ROW(B11)-ROW(B$12),0))</f>
        <v>#VALUE!</v>
      </c>
      <c r="C11" s="127" t="str">
        <f ca="1">IF(OFFSET(PO!N$12,ROW(C11)-ROW(C$12),0)=0,"",OFFSET(PO!N$12,ROW(C11)-ROW(C$12),0))</f>
        <v/>
      </c>
      <c r="D11" s="129" t="str">
        <f ca="1">IF(OFFSET(PO!O$12,ROW(D11)-ROW(D$12),0)=0,"",OFFSET(PO!O$12,ROW(D11)-ROW(D$12),0))</f>
        <v/>
      </c>
      <c r="E11" s="165">
        <f ca="1">IF($A11&lt;&gt;"Serviço",0,ROUND(SUMIF($F$9:$P$9,"&lt;&gt;",$F11:$P11),15-13*PO!$X$3))</f>
        <v>0</v>
      </c>
      <c r="F11" s="215"/>
      <c r="G11" s="215"/>
      <c r="H11" s="215"/>
      <c r="I11" s="215"/>
      <c r="J11" s="215"/>
      <c r="K11" s="215"/>
      <c r="L11" s="215"/>
      <c r="M11" s="215"/>
      <c r="N11" s="215"/>
      <c r="O11" s="215"/>
      <c r="U11" s="215"/>
    </row>
    <row r="12" spans="1:21" s="4" customFormat="1" x14ac:dyDescent="0.2">
      <c r="A12" s="76" t="str">
        <f>PO!J12</f>
        <v>LOTE</v>
      </c>
      <c r="B12" s="76"/>
      <c r="C12" s="76" t="str">
        <f>PO!N12</f>
        <v>RUA GRACIOSO ONZATTI</v>
      </c>
      <c r="D12" s="76"/>
      <c r="E12" s="216"/>
      <c r="F12" s="217"/>
      <c r="G12" s="217"/>
      <c r="H12" s="217"/>
      <c r="I12" s="217"/>
      <c r="J12" s="217"/>
      <c r="K12" s="217"/>
      <c r="L12" s="217"/>
      <c r="M12" s="217"/>
      <c r="N12" s="217"/>
      <c r="O12" s="217"/>
      <c r="U12" s="217"/>
    </row>
    <row r="13" spans="1:21" s="4" customFormat="1" x14ac:dyDescent="0.2">
      <c r="A13" s="126" t="str">
        <f ca="1">OFFSET(PO!J$12,ROW(A13)-ROW($A$12),0)</f>
        <v>Meta</v>
      </c>
      <c r="B13" s="130" t="str">
        <f ca="1">IF($A13=0,"",OFFSET(PO!K$12,ROW(B13)-ROW(B$12),0))</f>
        <v>1.</v>
      </c>
      <c r="C13" s="127" t="str">
        <f ca="1">IF(OFFSET(PO!N$12,ROW(C13)-ROW(C$12),0)=0,"",OFFSET(PO!N$12,ROW(C13)-ROW(C$12),0))</f>
        <v>(digite a descrição aqui)</v>
      </c>
      <c r="D13" s="129" t="str">
        <f ca="1">IF(OFFSET(PO!O$12,ROW(D13)-ROW(D$12),0)=0,"",OFFSET(PO!O$12,ROW(D13)-ROW(D$12),0))</f>
        <v/>
      </c>
      <c r="E13" s="165">
        <f ca="1">IF($A13&lt;&gt;"Serviço",0,ROUND(SUMIF($F$9:$P$9,"&lt;&gt;",$F13:$P13),15-13*PO!$X$3))</f>
        <v>0</v>
      </c>
      <c r="F13" s="215"/>
      <c r="G13" s="215"/>
      <c r="H13" s="215"/>
      <c r="I13" s="215"/>
      <c r="J13" s="215"/>
      <c r="K13" s="215"/>
      <c r="L13" s="215"/>
      <c r="M13" s="215"/>
      <c r="N13" s="215"/>
      <c r="O13" s="215"/>
      <c r="U13" s="215"/>
    </row>
    <row r="14" spans="1:21" s="4" customFormat="1" ht="25.5" x14ac:dyDescent="0.2">
      <c r="A14" s="128" t="str">
        <f ca="1">OFFSET(PO!J$12,ROW(A14)-ROW($A$12),0)</f>
        <v>Serviço</v>
      </c>
      <c r="B14" s="130" t="str">
        <f ca="1">IF($A14=0,"",OFFSET(PO!K$12,ROW(B14)-ROW(B$12),0))</f>
        <v>1.1.</v>
      </c>
      <c r="C14" s="127" t="str">
        <f ca="1">IF(OFFSET(PO!N$12,ROW(C14)-ROW(C$12),0)=0,"",OFFSET(PO!N$12,ROW(C14)-ROW(C$12),0))</f>
        <v>Ser. Topográfico em controle geométrico para acompanhamento de obra</v>
      </c>
      <c r="D14" s="129" t="str">
        <f ca="1">IF(OFFSET(PO!O$12,ROW(D14)-ROW(D$12),0)=0,"",OFFSET(PO!O$12,ROW(D14)-ROW(D$12),0))</f>
        <v>(m²)</v>
      </c>
      <c r="E14" s="165">
        <f ca="1">IF($A14&lt;&gt;"Serviço",0,ROUND(SUMIF($F$9:$P$9,"&lt;&gt;",$F14:$P14),15-13*PO!$X$3))</f>
        <v>3126</v>
      </c>
      <c r="F14" s="215">
        <v>3126</v>
      </c>
      <c r="G14" s="215"/>
      <c r="H14" s="215"/>
      <c r="I14" s="215"/>
      <c r="J14" s="215"/>
      <c r="K14" s="215"/>
      <c r="L14" s="215"/>
      <c r="M14" s="215"/>
      <c r="N14" s="215"/>
      <c r="O14" s="215"/>
      <c r="U14" s="215"/>
    </row>
    <row r="15" spans="1:21" s="4" customFormat="1" x14ac:dyDescent="0.2">
      <c r="A15" s="128" t="str">
        <f ca="1">OFFSET(PO!J$12,ROW(A15)-ROW($A$12),0)</f>
        <v>Serviço</v>
      </c>
      <c r="B15" s="130" t="str">
        <f ca="1">IF($A15=0,"",OFFSET(PO!K$12,ROW(B15)-ROW(B$12),0))</f>
        <v>1.2.</v>
      </c>
      <c r="C15" s="127" t="str">
        <f ca="1">IF(OFFSET(PO!N$12,ROW(C15)-ROW(C$12),0)=0,"",OFFSET(PO!N$12,ROW(C15)-ROW(C$12),0))</f>
        <v>Limpeza mecanizada de terreno com remoção de camada vegetal</v>
      </c>
      <c r="D15" s="129" t="str">
        <f ca="1">IF(OFFSET(PO!O$12,ROW(D15)-ROW(D$12),0)=0,"",OFFSET(PO!O$12,ROW(D15)-ROW(D$12),0))</f>
        <v>(m²)</v>
      </c>
      <c r="E15" s="165">
        <f ca="1">IF($A15&lt;&gt;"Serviço",0,ROUND(SUMIF($F$9:$P$9,"&lt;&gt;",$F15:$P15),15-13*PO!$X$3))</f>
        <v>1042</v>
      </c>
      <c r="F15" s="215">
        <v>1042</v>
      </c>
      <c r="G15" s="215"/>
      <c r="H15" s="215"/>
      <c r="I15" s="215"/>
      <c r="J15" s="215"/>
      <c r="K15" s="215"/>
      <c r="L15" s="215"/>
      <c r="M15" s="215"/>
      <c r="N15" s="215"/>
      <c r="O15" s="215"/>
      <c r="U15" s="215"/>
    </row>
    <row r="16" spans="1:21" s="4" customFormat="1" x14ac:dyDescent="0.2">
      <c r="A16" s="128" t="str">
        <f ca="1">OFFSET(PO!J$12,ROW(A16)-ROW($A$12),0)</f>
        <v>Serviço</v>
      </c>
      <c r="B16" s="130" t="str">
        <f ca="1">IF($A16=0,"",OFFSET(PO!K$12,ROW(B16)-ROW(B$12),0))</f>
        <v>1.3.</v>
      </c>
      <c r="C16" s="127" t="str">
        <f ca="1">IF(OFFSET(PO!N$12,ROW(C16)-ROW(C$12),0)=0,"",OFFSET(PO!N$12,ROW(C16)-ROW(C$12),0))</f>
        <v>Regularização e compactação do sub-leito</v>
      </c>
      <c r="D16" s="129" t="str">
        <f ca="1">IF(OFFSET(PO!O$12,ROW(D16)-ROW(D$12),0)=0,"",OFFSET(PO!O$12,ROW(D16)-ROW(D$12),0))</f>
        <v>(m²)</v>
      </c>
      <c r="E16" s="165">
        <f ca="1">IF($A16&lt;&gt;"Serviço",0,ROUND(SUMIF($F$9:$P$9,"&lt;&gt;",$F16:$P16),15-13*PO!$X$3))</f>
        <v>2084</v>
      </c>
      <c r="F16" s="215">
        <v>2084</v>
      </c>
      <c r="G16" s="215"/>
      <c r="H16" s="215"/>
      <c r="I16" s="215"/>
      <c r="J16" s="215"/>
      <c r="K16" s="215"/>
      <c r="L16" s="215"/>
      <c r="M16" s="215"/>
      <c r="N16" s="215"/>
      <c r="O16" s="215"/>
      <c r="U16" s="215"/>
    </row>
    <row r="17" spans="1:21" s="4" customFormat="1" x14ac:dyDescent="0.2">
      <c r="A17" s="128" t="str">
        <f ca="1">OFFSET(PO!J$12,ROW(A17)-ROW($A$12),0)</f>
        <v>Serviço</v>
      </c>
      <c r="B17" s="130" t="str">
        <f ca="1">IF($A17=0,"",OFFSET(PO!K$12,ROW(B17)-ROW(B$12),0))</f>
        <v>1.4.</v>
      </c>
      <c r="C17" s="127" t="str">
        <f ca="1">IF(OFFSET(PO!N$12,ROW(C17)-ROW(C$12),0)=0,"",OFFSET(PO!N$12,ROW(C17)-ROW(C$12),0))</f>
        <v>Pav. Em blco sextavado, esp. 8cm, ass. Sobre colchão de areia 8cm</v>
      </c>
      <c r="D17" s="129" t="str">
        <f ca="1">IF(OFFSET(PO!O$12,ROW(D17)-ROW(D$12),0)=0,"",OFFSET(PO!O$12,ROW(D17)-ROW(D$12),0))</f>
        <v>(m²)</v>
      </c>
      <c r="E17" s="165">
        <f ca="1">IF($A17&lt;&gt;"Serviço",0,ROUND(SUMIF($F$9:$P$9,"&lt;&gt;",$F17:$P17),15-13*PO!$X$3))</f>
        <v>2084</v>
      </c>
      <c r="F17" s="215"/>
      <c r="G17" s="215">
        <v>2084</v>
      </c>
      <c r="H17" s="215"/>
      <c r="I17" s="215"/>
      <c r="J17" s="215"/>
      <c r="K17" s="215"/>
      <c r="L17" s="215"/>
      <c r="M17" s="215"/>
      <c r="N17" s="215"/>
      <c r="O17" s="215"/>
      <c r="U17" s="215"/>
    </row>
    <row r="18" spans="1:21" s="4" customFormat="1" x14ac:dyDescent="0.2">
      <c r="A18" s="128" t="str">
        <f ca="1">OFFSET(PO!J$12,ROW(A18)-ROW($A$12),0)</f>
        <v>Serviço</v>
      </c>
      <c r="B18" s="130" t="str">
        <f ca="1">IF($A18=0,"",OFFSET(PO!K$12,ROW(B18)-ROW(B$12),0))</f>
        <v>1.5.</v>
      </c>
      <c r="C18" s="127" t="str">
        <f ca="1">IF(OFFSET(PO!N$12,ROW(C18)-ROW(C$12),0)=0,"",OFFSET(PO!N$12,ROW(C18)-ROW(C$12),0))</f>
        <v>Meio fio de concreto pre-moldado 15x30x100cm</v>
      </c>
      <c r="D18" s="129" t="str">
        <f ca="1">IF(OFFSET(PO!O$12,ROW(D18)-ROW(D$12),0)=0,"",OFFSET(PO!O$12,ROW(D18)-ROW(D$12),0))</f>
        <v>(m)</v>
      </c>
      <c r="E18" s="165">
        <f ca="1">IF($A18&lt;&gt;"Serviço",0,ROUND(SUMIF($F$9:$P$9,"&lt;&gt;",$F18:$P18),15-13*PO!$X$3))</f>
        <v>521</v>
      </c>
      <c r="F18" s="215"/>
      <c r="G18" s="215">
        <v>521</v>
      </c>
      <c r="H18" s="215"/>
      <c r="I18" s="215"/>
      <c r="J18" s="215"/>
      <c r="K18" s="215"/>
      <c r="L18" s="215"/>
      <c r="M18" s="215"/>
      <c r="N18" s="215"/>
      <c r="O18" s="215"/>
      <c r="U18" s="215"/>
    </row>
    <row r="19" spans="1:21" s="4" customFormat="1" ht="25.5" x14ac:dyDescent="0.2">
      <c r="A19" s="128" t="str">
        <f ca="1">OFFSET(PO!J$12,ROW(A19)-ROW($A$12),0)</f>
        <v>Serviço</v>
      </c>
      <c r="B19" s="130" t="str">
        <f ca="1">IF($A19=0,"",OFFSET(PO!K$12,ROW(B19)-ROW(B$12),0))</f>
        <v>1.6.</v>
      </c>
      <c r="C19" s="127" t="str">
        <f ca="1">IF(OFFSET(PO!N$12,ROW(C19)-ROW(C$12),0)=0,"",OFFSET(PO!N$12,ROW(C19)-ROW(C$12),0))</f>
        <v>Compactação mecânica, sem controle do gc (c/compactador placa 400 kg)</v>
      </c>
      <c r="D19" s="129" t="str">
        <f ca="1">IF(OFFSET(PO!O$12,ROW(D19)-ROW(D$12),0)=0,"",OFFSET(PO!O$12,ROW(D19)-ROW(D$12),0))</f>
        <v>(m³)</v>
      </c>
      <c r="E19" s="165">
        <f ca="1">IF($A19&lt;&gt;"Serviço",0,ROUND(SUMIF($F$9:$P$9,"&lt;&gt;",$F19:$P19),15-13*PO!$X$3))</f>
        <v>156.30000000000001</v>
      </c>
      <c r="F19" s="215"/>
      <c r="G19" s="215"/>
      <c r="H19" s="215">
        <v>156.30000000000001</v>
      </c>
      <c r="I19" s="215"/>
      <c r="J19" s="215"/>
      <c r="K19" s="215"/>
      <c r="L19" s="215"/>
      <c r="M19" s="215"/>
      <c r="N19" s="215"/>
      <c r="O19" s="215"/>
      <c r="U19" s="215"/>
    </row>
    <row r="20" spans="1:21" s="4" customFormat="1" x14ac:dyDescent="0.2">
      <c r="A20" s="128" t="str">
        <f ca="1">OFFSET(PO!J$12,ROW(A20)-ROW($A$12),0)</f>
        <v>Serviço</v>
      </c>
      <c r="B20" s="130" t="str">
        <f ca="1">IF($A20=0,"",OFFSET(PO!K$12,ROW(B20)-ROW(B$12),0))</f>
        <v>1.7.</v>
      </c>
      <c r="C20" s="127" t="str">
        <f ca="1">IF(OFFSET(PO!N$12,ROW(C20)-ROW(C$12),0)=0,"",OFFSET(PO!N$12,ROW(C20)-ROW(C$12),0))</f>
        <v>Pavimentação em paver cor natural, espessura 6cm</v>
      </c>
      <c r="D20" s="129" t="str">
        <f ca="1">IF(OFFSET(PO!O$12,ROW(D20)-ROW(D$12),0)=0,"",OFFSET(PO!O$12,ROW(D20)-ROW(D$12),0))</f>
        <v>(m²)</v>
      </c>
      <c r="E20" s="165">
        <f ca="1">IF($A20&lt;&gt;"Serviço",0,ROUND(SUMIF($F$9:$P$9,"&lt;&gt;",$F20:$P20),15-13*PO!$X$3))</f>
        <v>859.65</v>
      </c>
      <c r="F20" s="215"/>
      <c r="G20" s="215"/>
      <c r="H20" s="215">
        <v>859.65</v>
      </c>
      <c r="I20" s="215"/>
      <c r="J20" s="215"/>
      <c r="K20" s="215"/>
      <c r="L20" s="215"/>
      <c r="M20" s="215"/>
      <c r="N20" s="215"/>
      <c r="O20" s="215"/>
      <c r="U20" s="215"/>
    </row>
    <row r="21" spans="1:21" s="4" customFormat="1" x14ac:dyDescent="0.2">
      <c r="A21" s="128" t="str">
        <f ca="1">OFFSET(PO!J$12,ROW(A21)-ROW($A$12),0)</f>
        <v>Serviço</v>
      </c>
      <c r="B21" s="130" t="str">
        <f ca="1">IF($A21=0,"",OFFSET(PO!K$12,ROW(B21)-ROW(B$12),0))</f>
        <v>1.8.</v>
      </c>
      <c r="C21" s="127" t="str">
        <f ca="1">IF(OFFSET(PO!N$12,ROW(C21)-ROW(C$12),0)=0,"",OFFSET(PO!N$12,ROW(C21)-ROW(C$12),0))</f>
        <v>Pavimentação em paver podotátil (vermelho), espessura 6cm</v>
      </c>
      <c r="D21" s="129" t="str">
        <f ca="1">IF(OFFSET(PO!O$12,ROW(D21)-ROW(D$12),0)=0,"",OFFSET(PO!O$12,ROW(D21)-ROW(D$12),0))</f>
        <v>(m²)</v>
      </c>
      <c r="E21" s="165">
        <f ca="1">IF($A21&lt;&gt;"Serviço",0,ROUND(SUMIF($F$9:$P$9,"&lt;&gt;",$F21:$P21),15-13*PO!$X$3))</f>
        <v>104.2</v>
      </c>
      <c r="F21" s="215"/>
      <c r="G21" s="215"/>
      <c r="H21" s="215">
        <v>104.2</v>
      </c>
      <c r="I21" s="215"/>
      <c r="J21" s="215"/>
      <c r="K21" s="215"/>
      <c r="L21" s="215"/>
      <c r="M21" s="215"/>
      <c r="N21" s="215"/>
      <c r="O21" s="215"/>
      <c r="U21" s="215"/>
    </row>
    <row r="22" spans="1:21" s="4" customFormat="1" ht="25.5" x14ac:dyDescent="0.2">
      <c r="A22" s="128" t="str">
        <f ca="1">OFFSET(PO!J$12,ROW(A22)-ROW($A$12),0)</f>
        <v>Serviço</v>
      </c>
      <c r="B22" s="130" t="str">
        <f ca="1">IF($A22=0,"",OFFSET(PO!K$12,ROW(B22)-ROW(B$12),0))</f>
        <v>1.9.</v>
      </c>
      <c r="C22" s="127" t="str">
        <f ca="1">IF(OFFSET(PO!N$12,ROW(C22)-ROW(C$12),0)=0,"",OFFSET(PO!N$12,ROW(C22)-ROW(C$12),0))</f>
        <v>Meio-fio de concreto pre-moldado 15x30x100 cm Guia de cotenção lateral</v>
      </c>
      <c r="D22" s="129" t="str">
        <f ca="1">IF(OFFSET(PO!O$12,ROW(D22)-ROW(D$12),0)=0,"",OFFSET(PO!O$12,ROW(D22)-ROW(D$12),0))</f>
        <v>(m)</v>
      </c>
      <c r="E22" s="165">
        <f ca="1">IF($A22&lt;&gt;"Serviço",0,ROUND(SUMIF($F$9:$P$9,"&lt;&gt;",$F22:$P22),15-13*PO!$X$3))</f>
        <v>275</v>
      </c>
      <c r="F22" s="215"/>
      <c r="G22" s="215"/>
      <c r="H22" s="215">
        <v>275</v>
      </c>
      <c r="I22" s="215"/>
      <c r="J22" s="215"/>
      <c r="K22" s="215"/>
      <c r="L22" s="215"/>
      <c r="M22" s="215"/>
      <c r="N22" s="215"/>
      <c r="O22" s="215"/>
      <c r="U22" s="215"/>
    </row>
    <row r="23" spans="1:21" s="4" customFormat="1" x14ac:dyDescent="0.2">
      <c r="A23" s="128" t="str">
        <f ca="1">OFFSET(PO!J$12,ROW(A23)-ROW($A$12),0)</f>
        <v>Serviço</v>
      </c>
      <c r="B23" s="130" t="str">
        <f ca="1">IF($A23=0,"",OFFSET(PO!K$12,ROW(B23)-ROW(B$12),0))</f>
        <v>1.10.</v>
      </c>
      <c r="C23" s="127" t="str">
        <f ca="1">IF(OFFSET(PO!N$12,ROW(C23)-ROW(C$12),0)=0,"",OFFSET(PO!N$12,ROW(C23)-ROW(C$12),0))</f>
        <v>Escavação do subleito</v>
      </c>
      <c r="D23" s="129" t="str">
        <f ca="1">IF(OFFSET(PO!O$12,ROW(D23)-ROW(D$12),0)=0,"",OFFSET(PO!O$12,ROW(D23)-ROW(D$12),0))</f>
        <v>(m³)</v>
      </c>
      <c r="E23" s="165">
        <f ca="1">IF($A23&lt;&gt;"Serviço",0,ROUND(SUMIF($F$9:$P$9,"&lt;&gt;",$F23:$P23),15-13*PO!$X$3))</f>
        <v>156.30000000000001</v>
      </c>
      <c r="F23" s="215"/>
      <c r="G23" s="215"/>
      <c r="H23" s="215">
        <v>156.30000000000001</v>
      </c>
      <c r="I23" s="215"/>
      <c r="J23" s="215"/>
      <c r="K23" s="215"/>
      <c r="L23" s="215"/>
      <c r="M23" s="215"/>
      <c r="N23" s="215"/>
      <c r="O23" s="215"/>
      <c r="U23" s="215"/>
    </row>
    <row r="24" spans="1:21" s="4" customFormat="1" x14ac:dyDescent="0.2">
      <c r="A24" s="128" t="str">
        <f ca="1">OFFSET(PO!J$12,ROW(A24)-ROW($A$12),0)</f>
        <v>Serviço</v>
      </c>
      <c r="B24" s="130" t="str">
        <f ca="1">IF($A24=0,"",OFFSET(PO!K$12,ROW(B24)-ROW(B$12),0))</f>
        <v>1.11.</v>
      </c>
      <c r="C24" s="127" t="str">
        <f ca="1">IF(OFFSET(PO!N$12,ROW(C24)-ROW(C$12),0)=0,"",OFFSET(PO!N$12,ROW(C24)-ROW(C$12),0))</f>
        <v xml:space="preserve">Limpeza de caixa coletora </v>
      </c>
      <c r="D24" s="129" t="str">
        <f ca="1">IF(OFFSET(PO!O$12,ROW(D24)-ROW(D$12),0)=0,"",OFFSET(PO!O$12,ROW(D24)-ROW(D$12),0))</f>
        <v>(m³)</v>
      </c>
      <c r="E24" s="165">
        <f ca="1">IF($A24&lt;&gt;"Serviço",0,ROUND(SUMIF($F$9:$P$9,"&lt;&gt;",$F24:$P24),15-13*PO!$X$3))</f>
        <v>0.45</v>
      </c>
      <c r="F24" s="215"/>
      <c r="G24" s="215"/>
      <c r="H24" s="215"/>
      <c r="I24" s="215">
        <v>0.45</v>
      </c>
      <c r="J24" s="215"/>
      <c r="K24" s="215"/>
      <c r="L24" s="215"/>
      <c r="M24" s="215"/>
      <c r="N24" s="215"/>
      <c r="O24" s="215"/>
      <c r="U24" s="215"/>
    </row>
    <row r="25" spans="1:21" s="4" customFormat="1" x14ac:dyDescent="0.2">
      <c r="A25" s="128" t="str">
        <f ca="1">OFFSET(PO!J$12,ROW(A25)-ROW($A$12),0)</f>
        <v>Serviço</v>
      </c>
      <c r="B25" s="130" t="str">
        <f ca="1">IF($A25=0,"",OFFSET(PO!K$12,ROW(B25)-ROW(B$12),0))</f>
        <v>1.12.</v>
      </c>
      <c r="C25" s="127" t="str">
        <f ca="1">IF(OFFSET(PO!N$12,ROW(C25)-ROW(C$12),0)=0,"",OFFSET(PO!N$12,ROW(C25)-ROW(C$12),0))</f>
        <v>Pintura de faixa c/termoplástico (espessura 1,5mm)</v>
      </c>
      <c r="D25" s="129" t="str">
        <f ca="1">IF(OFFSET(PO!O$12,ROW(D25)-ROW(D$12),0)=0,"",OFFSET(PO!O$12,ROW(D25)-ROW(D$12),0))</f>
        <v>(m²)</v>
      </c>
      <c r="E25" s="165">
        <f ca="1">IF($A25&lt;&gt;"Serviço",0,ROUND(SUMIF($F$9:$P$9,"&lt;&gt;",$F25:$P25),15-13*PO!$X$3))</f>
        <v>38.4</v>
      </c>
      <c r="F25" s="215"/>
      <c r="G25" s="215"/>
      <c r="H25" s="215"/>
      <c r="I25" s="215"/>
      <c r="J25" s="215">
        <v>38.4</v>
      </c>
      <c r="K25" s="215"/>
      <c r="L25" s="215"/>
      <c r="M25" s="215"/>
      <c r="N25" s="215"/>
      <c r="O25" s="215"/>
      <c r="U25" s="215"/>
    </row>
    <row r="26" spans="1:21" s="4" customFormat="1" ht="25.5" x14ac:dyDescent="0.2">
      <c r="A26" s="128" t="str">
        <f ca="1">OFFSET(PO!J$12,ROW(A26)-ROW($A$12),0)</f>
        <v>Serviço</v>
      </c>
      <c r="B26" s="130" t="str">
        <f ca="1">IF($A26=0,"",OFFSET(PO!K$12,ROW(B26)-ROW(B$12),0))</f>
        <v>1.13.</v>
      </c>
      <c r="C26" s="127" t="str">
        <f ca="1">IF(OFFSET(PO!N$12,ROW(C26)-ROW(C$12),0)=0,"",OFFSET(PO!N$12,ROW(C26)-ROW(C$12),0))</f>
        <v>Fornecimento e implantação de placa de regulamentação em aço, R1 lado 0,248 m</v>
      </c>
      <c r="D26" s="129" t="str">
        <f ca="1">IF(OFFSET(PO!O$12,ROW(D26)-ROW(D$12),0)=0,"",OFFSET(PO!O$12,ROW(D26)-ROW(D$12),0))</f>
        <v>(und)</v>
      </c>
      <c r="E26" s="165">
        <f ca="1">IF($A26&lt;&gt;"Serviço",0,ROUND(SUMIF($F$9:$P$9,"&lt;&gt;",$F26:$P26),15-13*PO!$X$3))</f>
        <v>2</v>
      </c>
      <c r="F26" s="215"/>
      <c r="G26" s="215"/>
      <c r="H26" s="215"/>
      <c r="I26" s="215"/>
      <c r="J26" s="215">
        <v>2</v>
      </c>
      <c r="K26" s="215"/>
      <c r="L26" s="215"/>
      <c r="M26" s="215"/>
      <c r="N26" s="215"/>
      <c r="O26" s="215"/>
      <c r="U26" s="215"/>
    </row>
    <row r="27" spans="1:21" s="4" customFormat="1" ht="25.5" x14ac:dyDescent="0.2">
      <c r="A27" s="128" t="str">
        <f ca="1">OFFSET(PO!J$12,ROW(A27)-ROW($A$12),0)</f>
        <v>Serviço</v>
      </c>
      <c r="B27" s="130" t="str">
        <f ca="1">IF($A27=0,"",OFFSET(PO!K$12,ROW(B27)-ROW(B$12),0))</f>
        <v>1.14.</v>
      </c>
      <c r="C27" s="127" t="str">
        <f ca="1">IF(OFFSET(PO!N$12,ROW(C27)-ROW(C$12),0)=0,"",OFFSET(PO!N$12,ROW(C27)-ROW(C$12),0))</f>
        <v>Fornecimento e implantação de placa de regulamentação em aço, R1 lado 0,414 m</v>
      </c>
      <c r="D27" s="129" t="str">
        <f ca="1">IF(OFFSET(PO!O$12,ROW(D27)-ROW(D$12),0)=0,"",OFFSET(PO!O$12,ROW(D27)-ROW(D$12),0))</f>
        <v>(und)</v>
      </c>
      <c r="E27" s="165">
        <f ca="1">IF($A27&lt;&gt;"Serviço",0,ROUND(SUMIF($F$9:$P$9,"&lt;&gt;",$F27:$P27),15-13*PO!$X$3))</f>
        <v>2</v>
      </c>
      <c r="F27" s="215"/>
      <c r="G27" s="215"/>
      <c r="H27" s="215"/>
      <c r="I27" s="215"/>
      <c r="J27" s="215">
        <v>2</v>
      </c>
      <c r="K27" s="215"/>
      <c r="L27" s="215"/>
      <c r="M27" s="215"/>
      <c r="N27" s="215"/>
      <c r="O27" s="215"/>
      <c r="U27" s="215"/>
    </row>
    <row r="28" spans="1:21" s="4" customFormat="1" ht="25.5" x14ac:dyDescent="0.2">
      <c r="A28" s="128" t="str">
        <f ca="1">OFFSET(PO!J$12,ROW(A28)-ROW($A$12),0)</f>
        <v>Serviço</v>
      </c>
      <c r="B28" s="130" t="str">
        <f ca="1">IF($A28=0,"",OFFSET(PO!K$12,ROW(B28)-ROW(B$12),0))</f>
        <v>1.15.</v>
      </c>
      <c r="C28" s="127" t="str">
        <f ca="1">IF(OFFSET(PO!N$12,ROW(C28)-ROW(C$12),0)=0,"",OFFSET(PO!N$12,ROW(C28)-ROW(C$12),0))</f>
        <v>Fornecimento e implantação de suporte metálico  para placa R1  lado de 0,248 m</v>
      </c>
      <c r="D28" s="129" t="str">
        <f ca="1">IF(OFFSET(PO!O$12,ROW(D28)-ROW(D$12),0)=0,"",OFFSET(PO!O$12,ROW(D28)-ROW(D$12),0))</f>
        <v>(und)</v>
      </c>
      <c r="E28" s="165">
        <f ca="1">IF($A28&lt;&gt;"Serviço",0,ROUND(SUMIF($F$9:$P$9,"&lt;&gt;",$F28:$P28),15-13*PO!$X$3))</f>
        <v>3</v>
      </c>
      <c r="F28" s="215"/>
      <c r="G28" s="215"/>
      <c r="H28" s="215"/>
      <c r="I28" s="215"/>
      <c r="J28" s="215">
        <v>3</v>
      </c>
      <c r="K28" s="215"/>
      <c r="L28" s="215"/>
      <c r="M28" s="215"/>
      <c r="N28" s="215"/>
      <c r="O28" s="215"/>
      <c r="U28" s="215"/>
    </row>
    <row r="29" spans="1:21" s="4" customFormat="1" ht="25.5" x14ac:dyDescent="0.2">
      <c r="A29" s="128" t="str">
        <f ca="1">OFFSET(PO!J$12,ROW(A29)-ROW($A$12),0)</f>
        <v>Serviço</v>
      </c>
      <c r="B29" s="130" t="str">
        <f ca="1">IF($A29=0,"",OFFSET(PO!K$12,ROW(B29)-ROW(B$12),0))</f>
        <v>1.16.</v>
      </c>
      <c r="C29" s="127" t="str">
        <f ca="1">IF(OFFSET(PO!N$12,ROW(C29)-ROW(C$12),0)=0,"",OFFSET(PO!N$12,ROW(C29)-ROW(C$12),0))</f>
        <v>Fornecimento e implantação de suporte metálico  para placa R1  lado de 0,414 m</v>
      </c>
      <c r="D29" s="129" t="str">
        <f ca="1">IF(OFFSET(PO!O$12,ROW(D29)-ROW(D$12),0)=0,"",OFFSET(PO!O$12,ROW(D29)-ROW(D$12),0))</f>
        <v>(und)</v>
      </c>
      <c r="E29" s="165">
        <f ca="1">IF($A29&lt;&gt;"Serviço",0,ROUND(SUMIF($F$9:$P$9,"&lt;&gt;",$F29:$P29),15-13*PO!$X$3))</f>
        <v>3</v>
      </c>
      <c r="F29" s="215"/>
      <c r="G29" s="215"/>
      <c r="H29" s="215"/>
      <c r="I29" s="215"/>
      <c r="J29" s="215">
        <v>3</v>
      </c>
      <c r="K29" s="215"/>
      <c r="L29" s="215"/>
      <c r="M29" s="215"/>
      <c r="N29" s="215"/>
      <c r="O29" s="215"/>
      <c r="U29" s="215"/>
    </row>
    <row r="30" spans="1:21" s="4" customFormat="1" ht="25.5" x14ac:dyDescent="0.2">
      <c r="A30" s="128" t="str">
        <f ca="1">OFFSET(PO!J$12,ROW(A30)-ROW($A$12),0)</f>
        <v>Serviço</v>
      </c>
      <c r="B30" s="130" t="str">
        <f ca="1">IF($A30=0,"",OFFSET(PO!K$12,ROW(B30)-ROW(B$12),0))</f>
        <v>1.17.</v>
      </c>
      <c r="C30" s="127" t="str">
        <f ca="1">IF(OFFSET(PO!N$12,ROW(C30)-ROW(C$12),0)=0,"",OFFSET(PO!N$12,ROW(C30)-ROW(C$12),0))</f>
        <v>Forn. E implantação placa regulamentação aço d=0,60m pelicula retrorefletiva tipo I e SI</v>
      </c>
      <c r="D30" s="129" t="str">
        <f ca="1">IF(OFFSET(PO!O$12,ROW(D30)-ROW(D$12),0)=0,"",OFFSET(PO!O$12,ROW(D30)-ROW(D$12),0))</f>
        <v>(und)</v>
      </c>
      <c r="E30" s="165">
        <f ca="1">IF($A30&lt;&gt;"Serviço",0,ROUND(SUMIF($F$9:$P$9,"&lt;&gt;",$F30:$P30),15-13*PO!$X$3))</f>
        <v>3</v>
      </c>
      <c r="F30" s="215"/>
      <c r="G30" s="215"/>
      <c r="H30" s="215"/>
      <c r="I30" s="215"/>
      <c r="J30" s="215">
        <v>3</v>
      </c>
      <c r="K30" s="215"/>
      <c r="L30" s="215"/>
      <c r="M30" s="215"/>
      <c r="N30" s="215"/>
      <c r="O30" s="215"/>
      <c r="U30" s="215"/>
    </row>
    <row r="31" spans="1:21" s="4" customFormat="1" x14ac:dyDescent="0.2">
      <c r="A31" s="83"/>
      <c r="B31" s="83"/>
      <c r="C31" s="83"/>
      <c r="D31" s="83"/>
      <c r="E31" s="83"/>
      <c r="F31" s="83"/>
      <c r="G31" s="83"/>
      <c r="H31" s="83"/>
      <c r="I31" s="83"/>
      <c r="J31" s="83"/>
      <c r="K31" s="83"/>
      <c r="L31" s="83"/>
      <c r="M31" s="83"/>
      <c r="N31" s="83"/>
      <c r="O31" s="83"/>
      <c r="U31" s="83"/>
    </row>
    <row r="32" spans="1:21" s="4" customFormat="1" x14ac:dyDescent="0.2">
      <c r="B32" s="9"/>
      <c r="C32" s="14"/>
      <c r="D32" s="9"/>
      <c r="E32" s="16"/>
      <c r="F32" s="16"/>
      <c r="G32" s="16"/>
      <c r="H32" s="16"/>
      <c r="I32" s="16"/>
      <c r="J32" s="16"/>
      <c r="K32" s="16"/>
      <c r="L32" s="16"/>
      <c r="M32" s="16"/>
      <c r="N32" s="16"/>
      <c r="O32" s="16"/>
      <c r="U32" s="16"/>
    </row>
    <row r="33" spans="2:21" s="4" customFormat="1" x14ac:dyDescent="0.2">
      <c r="B33" s="379" t="str">
        <f>PO!$K$42</f>
        <v>RODEIO SC</v>
      </c>
      <c r="C33" s="379"/>
      <c r="D33" s="9"/>
      <c r="E33" s="16"/>
      <c r="F33" s="16"/>
      <c r="G33" s="16"/>
      <c r="H33" s="16"/>
      <c r="I33" s="16"/>
      <c r="J33" s="16"/>
      <c r="K33" s="16"/>
      <c r="L33" s="16"/>
      <c r="M33" s="16"/>
      <c r="N33" s="16"/>
      <c r="O33" s="16"/>
      <c r="U33" s="16"/>
    </row>
    <row r="34" spans="2:21" s="4" customFormat="1" x14ac:dyDescent="0.2">
      <c r="B34" s="113" t="s">
        <v>121</v>
      </c>
      <c r="C34" s="14"/>
      <c r="D34" s="9"/>
      <c r="E34" s="16"/>
      <c r="F34" s="16"/>
      <c r="G34" s="16"/>
      <c r="H34" s="16"/>
      <c r="I34" s="16"/>
      <c r="J34" s="16"/>
      <c r="K34" s="16"/>
      <c r="L34" s="16"/>
      <c r="M34" s="16"/>
      <c r="N34" s="16"/>
      <c r="O34" s="16"/>
      <c r="U34" s="16"/>
    </row>
    <row r="35" spans="2:21" s="4" customFormat="1" x14ac:dyDescent="0.2">
      <c r="B35" s="14"/>
      <c r="C35" s="14"/>
      <c r="D35" s="9"/>
      <c r="E35" s="16"/>
      <c r="F35" s="16"/>
      <c r="G35" s="16"/>
      <c r="H35" s="16"/>
      <c r="I35" s="16"/>
      <c r="J35" s="16"/>
      <c r="K35" s="16"/>
      <c r="L35" s="16"/>
      <c r="M35" s="16"/>
      <c r="N35" s="16"/>
      <c r="O35" s="16"/>
      <c r="U35" s="16"/>
    </row>
    <row r="36" spans="2:21" s="4" customFormat="1" x14ac:dyDescent="0.2">
      <c r="B36" s="380">
        <f ca="1">PO!$K$45</f>
        <v>43643</v>
      </c>
      <c r="C36" s="380"/>
      <c r="D36" s="9"/>
      <c r="E36" s="16"/>
      <c r="F36" s="16"/>
      <c r="G36" s="16"/>
      <c r="H36" s="16"/>
      <c r="I36" s="16"/>
      <c r="J36" s="16"/>
      <c r="K36" s="16"/>
      <c r="L36" s="16"/>
      <c r="M36" s="16"/>
      <c r="N36" s="16"/>
      <c r="O36" s="16"/>
      <c r="U36" s="16"/>
    </row>
    <row r="37" spans="2:21" s="4" customFormat="1" x14ac:dyDescent="0.2">
      <c r="B37" s="142" t="s">
        <v>122</v>
      </c>
      <c r="C37" s="143"/>
      <c r="D37" s="9"/>
      <c r="E37" s="16"/>
      <c r="F37" s="16"/>
      <c r="G37" s="16"/>
      <c r="H37" s="16"/>
      <c r="I37" s="16"/>
      <c r="J37" s="16"/>
      <c r="K37" s="16"/>
      <c r="L37" s="16"/>
      <c r="M37" s="16"/>
      <c r="N37" s="16"/>
      <c r="O37" s="16"/>
      <c r="U37" s="16"/>
    </row>
  </sheetData>
  <sheetProtection password="C95B" sheet="1" objects="1" scenarios="1"/>
  <mergeCells count="2">
    <mergeCell ref="B33:C33"/>
    <mergeCell ref="B36:C36"/>
  </mergeCells>
  <phoneticPr fontId="25" type="noConversion"/>
  <conditionalFormatting sqref="D11:E11 D13:E13">
    <cfRule type="expression" dxfId="77" priority="690" stopIfTrue="1">
      <formula>$A11="Meta"</formula>
    </cfRule>
    <cfRule type="expression" dxfId="76" priority="691" stopIfTrue="1">
      <formula>$A11&lt;&gt;"Serviço"</formula>
    </cfRule>
  </conditionalFormatting>
  <conditionalFormatting sqref="C11 C13">
    <cfRule type="expression" dxfId="75" priority="692" stopIfTrue="1">
      <formula>$A11="Meta"</formula>
    </cfRule>
    <cfRule type="expression" dxfId="74" priority="693" stopIfTrue="1">
      <formula>$A11&lt;&gt;"Serviço"</formula>
    </cfRule>
  </conditionalFormatting>
  <conditionalFormatting sqref="A11:B11 A13:B13">
    <cfRule type="expression" dxfId="73" priority="694" stopIfTrue="1">
      <formula>$A11="Meta"</formula>
    </cfRule>
    <cfRule type="expression" dxfId="72" priority="695" stopIfTrue="1">
      <formula>LEFT($A11,5)="Nível"</formula>
    </cfRule>
    <cfRule type="expression" dxfId="71" priority="696" stopIfTrue="1">
      <formula>$A11=0</formula>
    </cfRule>
  </conditionalFormatting>
  <conditionalFormatting sqref="U11 U13 F13:O13">
    <cfRule type="expression" dxfId="70" priority="706" stopIfTrue="1">
      <formula>$A11="Meta"</formula>
    </cfRule>
    <cfRule type="expression" dxfId="69" priority="707" stopIfTrue="1">
      <formula>OR(F$9=0,$A11&lt;&gt;"Serviço")</formula>
    </cfRule>
    <cfRule type="expression" dxfId="68" priority="708" stopIfTrue="1">
      <formula>TipoOrçamento="Licitado"</formula>
    </cfRule>
  </conditionalFormatting>
  <conditionalFormatting sqref="U9">
    <cfRule type="expression" dxfId="67" priority="128" stopIfTrue="1">
      <formula>AND(T9=0,U9=0)</formula>
    </cfRule>
    <cfRule type="expression" dxfId="66" priority="129" stopIfTrue="1">
      <formula>TipoOrçamento="Licitado"</formula>
    </cfRule>
  </conditionalFormatting>
  <conditionalFormatting sqref="F11:O11">
    <cfRule type="expression" dxfId="65" priority="88" stopIfTrue="1">
      <formula>$A11="Meta"</formula>
    </cfRule>
    <cfRule type="expression" dxfId="64" priority="89" stopIfTrue="1">
      <formula>OR(F$9=0,$A11&lt;&gt;"Serviço")</formula>
    </cfRule>
    <cfRule type="expression" dxfId="63" priority="90" stopIfTrue="1">
      <formula>TipoOrçamento="Licitado"</formula>
    </cfRule>
  </conditionalFormatting>
  <conditionalFormatting sqref="F9:O9">
    <cfRule type="expression" dxfId="62" priority="86" stopIfTrue="1">
      <formula>AND(E9=0,F9=0)</formula>
    </cfRule>
    <cfRule type="expression" dxfId="61" priority="87" stopIfTrue="1">
      <formula>TipoOrçamento="Licitado"</formula>
    </cfRule>
  </conditionalFormatting>
  <conditionalFormatting sqref="D14:E30">
    <cfRule type="expression" dxfId="60" priority="4" stopIfTrue="1">
      <formula>$A14="Meta"</formula>
    </cfRule>
    <cfRule type="expression" dxfId="59" priority="5" stopIfTrue="1">
      <formula>$A14&lt;&gt;"Serviço"</formula>
    </cfRule>
  </conditionalFormatting>
  <conditionalFormatting sqref="C14:C30">
    <cfRule type="expression" dxfId="58" priority="6" stopIfTrue="1">
      <formula>$A14="Meta"</formula>
    </cfRule>
    <cfRule type="expression" dxfId="57" priority="7" stopIfTrue="1">
      <formula>$A14&lt;&gt;"Serviço"</formula>
    </cfRule>
  </conditionalFormatting>
  <conditionalFormatting sqref="A14:B30">
    <cfRule type="expression" dxfId="56" priority="8" stopIfTrue="1">
      <formula>$A14="Meta"</formula>
    </cfRule>
    <cfRule type="expression" dxfId="55" priority="9" stopIfTrue="1">
      <formula>LEFT($A14,5)="Nível"</formula>
    </cfRule>
    <cfRule type="expression" dxfId="54" priority="10" stopIfTrue="1">
      <formula>$A14=0</formula>
    </cfRule>
  </conditionalFormatting>
  <conditionalFormatting sqref="U14:U30">
    <cfRule type="expression" dxfId="53" priority="11" stopIfTrue="1">
      <formula>$A14="Meta"</formula>
    </cfRule>
    <cfRule type="expression" dxfId="52" priority="12" stopIfTrue="1">
      <formula>OR(U$9=0,$A14&lt;&gt;"Serviço")</formula>
    </cfRule>
    <cfRule type="expression" dxfId="51" priority="13" stopIfTrue="1">
      <formula>TipoOrçamento="Licitado"</formula>
    </cfRule>
  </conditionalFormatting>
  <conditionalFormatting sqref="F14:O30">
    <cfRule type="expression" dxfId="50" priority="1" stopIfTrue="1">
      <formula>$A14="Meta"</formula>
    </cfRule>
    <cfRule type="expression" dxfId="49" priority="2" stopIfTrue="1">
      <formula>OR(F$9=0,$A14&lt;&gt;"Serviço")</formula>
    </cfRule>
    <cfRule type="expression" dxfId="48" priority="3" stopIfTrue="1">
      <formula>TipoOrçamento="Licitado"</formula>
    </cfRule>
  </conditionalFormatting>
  <dataValidations count="1">
    <dataValidation type="decimal" operator="greaterThanOrEqual" allowBlank="1" showInputMessage="1" showErrorMessage="1" error="Digite apenas números._x000a__x000a_preferencialmente com 02 casas de precisão." sqref="U11 F11:O11 U14:U30 F14:O30" xr:uid="{00000000-0002-0000-0300-000000000000}">
      <formula1>0</formula1>
    </dataValidation>
  </dataValidations>
  <printOptions horizontalCentered="1"/>
  <pageMargins left="0.78740157480314965" right="0.78740157480314965" top="0.78740157480314965" bottom="0.78740157480314965" header="0.59055118110236227" footer="0.59055118110236227"/>
  <pageSetup paperSize="9" scale="62" fitToWidth="0" fitToHeight="0" orientation="landscape" r:id="rId1"/>
  <headerFooter alignWithMargins="0">
    <oddHeader>&amp;C&amp;14I</oddHeader>
    <oddFooter>&amp;R&amp;P&amp;L27.476 v008   micro</oddFooter>
  </headerFooter>
  <ignoredErrors>
    <ignoredError sqref="B36 B33" unlockedFormula="1"/>
    <ignoredError sqref="A12 C12" 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6">
    <tabColor rgb="FFFFFF00"/>
    <outlinePr summaryBelow="0"/>
  </sheetPr>
  <dimension ref="A1:AC31"/>
  <sheetViews>
    <sheetView showGridLines="0" tabSelected="1" view="pageBreakPreview" topLeftCell="L1" zoomScaleNormal="100" zoomScaleSheetLayoutView="100" workbookViewId="0">
      <selection activeCell="T36" sqref="T36"/>
    </sheetView>
  </sheetViews>
  <sheetFormatPr defaultRowHeight="12.75" x14ac:dyDescent="0.2"/>
  <cols>
    <col min="1" max="4" width="9.140625" style="42" hidden="1" customWidth="1"/>
    <col min="5" max="8" width="5.7109375" style="42" hidden="1" customWidth="1"/>
    <col min="9" max="10" width="6.7109375" style="42" hidden="1" customWidth="1"/>
    <col min="11" max="11" width="10.7109375" style="42" hidden="1" customWidth="1"/>
    <col min="12" max="12" width="10.7109375" style="42" customWidth="1"/>
    <col min="13" max="13" width="40.5703125" style="42" customWidth="1"/>
    <col min="14" max="14" width="16.42578125" style="47" customWidth="1"/>
    <col min="15" max="15" width="16.5703125" style="42" bestFit="1" customWidth="1"/>
    <col min="16" max="23" width="15.7109375" style="42" customWidth="1"/>
    <col min="24" max="24" width="0.85546875" style="46" customWidth="1"/>
    <col min="25" max="28" width="9.140625" style="42"/>
    <col min="29" max="29" width="15.7109375" style="42" hidden="1" customWidth="1"/>
    <col min="30" max="16384" width="9.140625" style="42"/>
  </cols>
  <sheetData>
    <row r="1" spans="1:29" s="41" customFormat="1" ht="12.95" customHeight="1" x14ac:dyDescent="0.2">
      <c r="A1" s="21"/>
      <c r="B1" s="21"/>
      <c r="C1" s="21"/>
      <c r="D1" s="21"/>
      <c r="E1" s="172"/>
      <c r="F1" s="172"/>
      <c r="G1" s="172"/>
      <c r="H1" s="172"/>
      <c r="I1" s="172"/>
      <c r="J1" s="172"/>
      <c r="K1" s="172"/>
      <c r="L1" s="21"/>
      <c r="M1" s="21"/>
      <c r="N1" s="21"/>
      <c r="O1" s="173" t="s">
        <v>22</v>
      </c>
      <c r="P1" s="174" t="s">
        <v>116</v>
      </c>
      <c r="Q1" s="175"/>
      <c r="R1" s="21"/>
      <c r="S1" s="21"/>
      <c r="T1" s="21"/>
      <c r="U1" s="1"/>
      <c r="V1" s="1"/>
      <c r="W1" s="1"/>
      <c r="X1" s="1"/>
      <c r="AC1" s="1"/>
    </row>
    <row r="2" spans="1:29" s="41" customFormat="1" ht="12.75" customHeight="1" x14ac:dyDescent="0.2">
      <c r="A2" s="1"/>
      <c r="B2" s="1"/>
      <c r="C2" s="1"/>
      <c r="D2" s="1"/>
      <c r="E2" s="1"/>
      <c r="F2" s="1"/>
      <c r="G2" s="1"/>
      <c r="H2" s="1"/>
      <c r="I2" s="1"/>
      <c r="J2" s="1"/>
      <c r="K2" s="1"/>
      <c r="L2" s="1"/>
      <c r="M2" s="1"/>
      <c r="N2" s="1"/>
      <c r="O2" s="173"/>
      <c r="P2" s="176" t="str">
        <f>CHOOSE(1+LOG(1+2*(TipoOrçamento="BASE")+4*(TipoOrçamento="LICITADO")+8*(TipoOrçamento="REPROGRAMADOAC")+16*(TipoOrçamento="REPROGRAMADONPL"),2),"nada","Cronograma Base para Licitação","Cronograma Licitado","Cronograma Licitado Reprogramado","Cronograma Base para Licitação - Reprogramado")</f>
        <v>Cronograma Base para Licitação</v>
      </c>
      <c r="Q2" s="1"/>
      <c r="R2" s="1"/>
      <c r="S2" s="1"/>
      <c r="T2" s="1"/>
      <c r="U2" s="1"/>
      <c r="V2" s="174"/>
      <c r="W2" s="1"/>
      <c r="X2" s="1"/>
      <c r="AC2" s="1"/>
    </row>
    <row r="3" spans="1:29" s="41" customFormat="1" ht="12.75" customHeight="1" x14ac:dyDescent="0.2">
      <c r="A3" s="1"/>
      <c r="B3" s="1"/>
      <c r="C3" s="1"/>
      <c r="D3" s="1"/>
      <c r="E3" s="1"/>
      <c r="F3" s="1"/>
      <c r="G3" s="1"/>
      <c r="H3" s="1"/>
      <c r="I3" s="1"/>
      <c r="J3" s="1"/>
      <c r="K3" s="1"/>
      <c r="L3" s="1"/>
      <c r="M3" s="1"/>
      <c r="N3" s="1"/>
      <c r="O3" s="1"/>
      <c r="P3" s="1"/>
      <c r="Q3" s="1"/>
      <c r="R3" s="1"/>
      <c r="S3" s="82"/>
      <c r="T3" s="1"/>
      <c r="U3" s="1"/>
      <c r="V3" s="1"/>
      <c r="W3" s="1"/>
      <c r="X3" s="1"/>
      <c r="AC3" s="1"/>
    </row>
    <row r="4" spans="1:29" s="41" customFormat="1" ht="24.95" customHeight="1" x14ac:dyDescent="0.2">
      <c r="A4" s="1"/>
      <c r="B4" s="1"/>
      <c r="C4" s="1"/>
      <c r="D4" s="1"/>
      <c r="E4" s="1"/>
      <c r="F4" s="1"/>
      <c r="G4" s="1"/>
      <c r="H4" s="1"/>
      <c r="I4" s="1"/>
      <c r="J4" s="1"/>
      <c r="K4" s="1"/>
      <c r="L4" s="1"/>
      <c r="M4" s="1"/>
      <c r="N4" s="1"/>
      <c r="O4" s="1"/>
      <c r="P4" s="1"/>
      <c r="Q4" s="1"/>
      <c r="R4" s="1"/>
      <c r="S4" s="1"/>
      <c r="T4" s="1"/>
      <c r="U4" s="1"/>
      <c r="V4" s="1"/>
      <c r="W4" s="1"/>
      <c r="X4" s="1"/>
      <c r="AC4" s="1"/>
    </row>
    <row r="5" spans="1:29" s="41" customFormat="1" ht="24.95" customHeight="1" x14ac:dyDescent="0.2">
      <c r="A5" s="1"/>
      <c r="B5" s="1"/>
      <c r="C5" s="1"/>
      <c r="D5" s="1"/>
      <c r="E5" s="1"/>
      <c r="F5" s="1"/>
      <c r="G5" s="1"/>
      <c r="H5" s="1"/>
      <c r="I5" s="1"/>
      <c r="J5" s="1"/>
      <c r="K5" s="1"/>
      <c r="L5" s="1"/>
      <c r="M5" s="1"/>
      <c r="N5" s="1"/>
      <c r="O5" s="1"/>
      <c r="P5" s="1"/>
      <c r="Q5" s="1"/>
      <c r="R5" s="1"/>
      <c r="S5" s="1"/>
      <c r="T5" s="1"/>
      <c r="U5" s="1"/>
      <c r="V5" s="1"/>
      <c r="W5" s="1"/>
      <c r="X5" s="1"/>
      <c r="AC5" s="1"/>
    </row>
    <row r="6" spans="1:29" s="41" customFormat="1" ht="24.95" customHeight="1" x14ac:dyDescent="0.2">
      <c r="A6" s="1"/>
      <c r="B6" s="1"/>
      <c r="C6" s="1"/>
      <c r="D6" s="1"/>
      <c r="E6" s="1"/>
      <c r="F6" s="1"/>
      <c r="G6" s="1"/>
      <c r="H6" s="1"/>
      <c r="I6" s="1"/>
      <c r="J6" s="1"/>
      <c r="K6" s="1"/>
      <c r="L6" s="1"/>
      <c r="M6" s="1"/>
      <c r="N6" s="1"/>
      <c r="O6" s="1"/>
      <c r="P6" s="1"/>
      <c r="Q6" s="1"/>
      <c r="R6" s="1"/>
      <c r="S6" s="1"/>
      <c r="T6" s="1"/>
      <c r="U6" s="1"/>
      <c r="V6" s="1"/>
      <c r="W6" s="1"/>
      <c r="X6" s="1"/>
      <c r="AC6" s="1"/>
    </row>
    <row r="7" spans="1:29" s="41" customFormat="1" ht="21.75" customHeight="1" x14ac:dyDescent="0.2">
      <c r="A7" s="1"/>
      <c r="B7" s="1"/>
      <c r="C7" s="1"/>
      <c r="D7" s="1"/>
      <c r="E7" s="1"/>
      <c r="F7" s="1"/>
      <c r="G7" s="1"/>
      <c r="H7" s="1"/>
      <c r="I7" s="1"/>
      <c r="J7" s="1"/>
      <c r="K7" s="1"/>
      <c r="L7" s="1"/>
      <c r="M7" s="1"/>
      <c r="N7" s="1"/>
      <c r="O7" s="1"/>
      <c r="P7" s="1"/>
      <c r="Q7" s="1"/>
      <c r="R7" s="1"/>
      <c r="S7" s="1"/>
      <c r="T7" s="1"/>
      <c r="U7" s="1"/>
      <c r="V7" s="1"/>
      <c r="W7" s="1"/>
      <c r="X7" s="1"/>
      <c r="AC7" s="1"/>
    </row>
    <row r="8" spans="1:29" s="41" customFormat="1" ht="30" customHeight="1" x14ac:dyDescent="0.2">
      <c r="A8" s="177" t="s">
        <v>177</v>
      </c>
      <c r="B8" s="1"/>
      <c r="C8" s="1"/>
      <c r="D8" s="1"/>
      <c r="E8" s="1"/>
      <c r="F8" s="1"/>
      <c r="G8" s="1"/>
      <c r="H8" s="1"/>
      <c r="I8" s="1"/>
      <c r="J8" s="1"/>
      <c r="K8" s="1"/>
      <c r="L8" s="381" t="str">
        <f ca="1">IF(MAX($A$14:$A$22)&lt;&gt;MAX(PO!$V$12:$V$31),"ERRO: CRONOGRAMA DESATUALIZADO",IF(OR(COUNTIF($O$16:$X$16,"&gt;1")&gt;0,OFFSET($X$17,0,-1)&lt;&gt;$N$14),"ERRO: CRONOGRAMA NÃO FECHA EM 100%",""))</f>
        <v/>
      </c>
      <c r="M8" s="381"/>
      <c r="N8" s="160" t="str">
        <f>IF(TipoOrçamento="REPROGRAMADOAC","Qtde de Medições realizadas","")</f>
        <v/>
      </c>
      <c r="O8" s="178"/>
      <c r="P8" s="179"/>
      <c r="Q8" s="1"/>
      <c r="R8" s="1"/>
      <c r="S8" s="1"/>
      <c r="T8" s="1"/>
      <c r="U8" s="1"/>
      <c r="V8" s="1"/>
      <c r="W8" s="1"/>
      <c r="X8" s="1"/>
      <c r="AC8" s="1"/>
    </row>
    <row r="9" spans="1:29" s="41" customFormat="1" ht="14.1" customHeight="1" x14ac:dyDescent="0.2">
      <c r="A9" s="166">
        <v>2</v>
      </c>
      <c r="B9" s="1"/>
      <c r="C9" s="1"/>
      <c r="D9" s="1"/>
      <c r="E9" s="1"/>
      <c r="F9" s="1"/>
      <c r="G9" s="1"/>
      <c r="H9" s="1"/>
      <c r="I9" s="1"/>
      <c r="J9" s="1"/>
      <c r="K9" s="1"/>
      <c r="L9" s="82"/>
      <c r="M9" s="82"/>
      <c r="N9" s="159">
        <v>1</v>
      </c>
      <c r="O9" s="149">
        <f>IF(AND(TipoOrçamento="REPROGRAMADOAC",$N$9&gt;0),$N$9-1,0)</f>
        <v>0</v>
      </c>
      <c r="P9" s="148">
        <f t="shared" ref="P9:W9" ca="1" si="0">OFFSET(P9,0,-1)+1</f>
        <v>1</v>
      </c>
      <c r="Q9" s="148">
        <f t="shared" ca="1" si="0"/>
        <v>2</v>
      </c>
      <c r="R9" s="148">
        <f t="shared" ca="1" si="0"/>
        <v>3</v>
      </c>
      <c r="S9" s="148">
        <f t="shared" ca="1" si="0"/>
        <v>4</v>
      </c>
      <c r="T9" s="148">
        <f t="shared" ca="1" si="0"/>
        <v>5</v>
      </c>
      <c r="U9" s="148">
        <f t="shared" ca="1" si="0"/>
        <v>6</v>
      </c>
      <c r="V9" s="148">
        <f t="shared" ca="1" si="0"/>
        <v>7</v>
      </c>
      <c r="W9" s="148">
        <f t="shared" ca="1" si="0"/>
        <v>8</v>
      </c>
      <c r="X9" s="1"/>
      <c r="AC9" s="148">
        <f ca="1">OFFSET(AC9,0,-1)+1</f>
        <v>1</v>
      </c>
    </row>
    <row r="10" spans="1:29" s="43" customFormat="1" ht="30" customHeight="1" x14ac:dyDescent="0.2">
      <c r="A10" s="180" t="s">
        <v>162</v>
      </c>
      <c r="B10" s="180" t="s">
        <v>130</v>
      </c>
      <c r="C10" s="180" t="s">
        <v>3</v>
      </c>
      <c r="D10" s="180" t="s">
        <v>124</v>
      </c>
      <c r="E10" s="180" t="s">
        <v>110</v>
      </c>
      <c r="F10" s="180" t="s">
        <v>111</v>
      </c>
      <c r="G10" s="180" t="s">
        <v>128</v>
      </c>
      <c r="H10" s="180" t="s">
        <v>129</v>
      </c>
      <c r="I10" s="180" t="s">
        <v>125</v>
      </c>
      <c r="J10" s="180" t="s">
        <v>126</v>
      </c>
      <c r="K10" s="180" t="s">
        <v>179</v>
      </c>
      <c r="L10" s="181" t="s">
        <v>148</v>
      </c>
      <c r="M10" s="182" t="s">
        <v>161</v>
      </c>
      <c r="N10" s="183" t="s">
        <v>140</v>
      </c>
      <c r="O10" s="218" t="str">
        <f>IF(TipoOrçamento="REPROGRAMADOAC","Reinício de Obra","Início de Obra")&amp;CHAR(10)&amp;TEXT(DADOS!A48,"dd/mm/aa")</f>
        <v>Início de Obra
28/06/19</v>
      </c>
      <c r="P10" s="219" t="str">
        <f ca="1">IF(AND(TipoOrçamento="REPROGRAMADOAC",$N$9&gt;0,N10="Valores Totais (R$)"),"Parcela "&amp;$N$9&amp;" Executado","Parcela "&amp;P$9&amp;CHAR(10)&amp;TEXT(DATE(YEAR(DADOS!$A$48),MONTH(DADOS!$A$48)+P$9-IF(AND(TipoOrçamento="REPROGRAMADOAC",$N$9&gt;0),$N$9,0),1),"mmm/aa"))</f>
        <v>Parcela 1
jul/19</v>
      </c>
      <c r="Q10" s="210" t="str">
        <f ca="1">IF(AND(TipoOrçamento="REPROGRAMADOAC",$N$9&gt;0,O10="Valores Totais (R$)"),"Parcela "&amp;$N$9&amp;" Executado","Parcela "&amp;Q$9&amp;CHAR(10)&amp;TEXT(DATE(YEAR(DADOS!$A$48),MONTH(DADOS!$A$48)+Q$9-IF(AND(TipoOrçamento="REPROGRAMADOAC",$N$9&gt;0),$N$9,0),1),"mmm/aa"))</f>
        <v>Parcela 2
ago/19</v>
      </c>
      <c r="R10" s="210" t="str">
        <f ca="1">IF(AND(TipoOrçamento="REPROGRAMADOAC",$N$9&gt;0,P10="Valores Totais (R$)"),"Parcela "&amp;$N$9&amp;" Executado","Parcela "&amp;R$9&amp;CHAR(10)&amp;TEXT(DATE(YEAR(DADOS!$A$48),MONTH(DADOS!$A$48)+R$9-IF(AND(TipoOrçamento="REPROGRAMADOAC",$N$9&gt;0),$N$9,0),1),"mmm/aa"))</f>
        <v>Parcela 3
set/19</v>
      </c>
      <c r="S10" s="210" t="str">
        <f ca="1">IF(AND(TipoOrçamento="REPROGRAMADOAC",$N$9&gt;0,Q10="Valores Totais (R$)"),"Parcela "&amp;$N$9&amp;" Executado","Parcela "&amp;S$9&amp;CHAR(10)&amp;TEXT(DATE(YEAR(DADOS!$A$48),MONTH(DADOS!$A$48)+S$9-IF(AND(TipoOrçamento="REPROGRAMADOAC",$N$9&gt;0),$N$9,0),1),"mmm/aa"))</f>
        <v>Parcela 4
out/19</v>
      </c>
      <c r="T10" s="210" t="str">
        <f ca="1">IF(AND(TipoOrçamento="REPROGRAMADOAC",$N$9&gt;0,R10="Valores Totais (R$)"),"Parcela "&amp;$N$9&amp;" Executado","Parcela "&amp;T$9&amp;CHAR(10)&amp;TEXT(DATE(YEAR(DADOS!$A$48),MONTH(DADOS!$A$48)+T$9-IF(AND(TipoOrçamento="REPROGRAMADOAC",$N$9&gt;0),$N$9,0),1),"mmm/aa"))</f>
        <v>Parcela 5
nov/19</v>
      </c>
      <c r="U10" s="210" t="str">
        <f ca="1">IF(AND(TipoOrçamento="REPROGRAMADOAC",$N$9&gt;0,S10="Valores Totais (R$)"),"Parcela "&amp;$N$9&amp;" Executado","Parcela "&amp;U$9&amp;CHAR(10)&amp;TEXT(DATE(YEAR(DADOS!$A$48),MONTH(DADOS!$A$48)+U$9-IF(AND(TipoOrçamento="REPROGRAMADOAC",$N$9&gt;0),$N$9,0),1),"mmm/aa"))</f>
        <v>Parcela 6
dez/19</v>
      </c>
      <c r="V10" s="210" t="str">
        <f ca="1">IF(AND(TipoOrçamento="REPROGRAMADOAC",$N$9&gt;0,T10="Valores Totais (R$)"),"Parcela "&amp;$N$9&amp;" Executado","Parcela "&amp;V$9&amp;CHAR(10)&amp;TEXT(DATE(YEAR(DADOS!$A$48),MONTH(DADOS!$A$48)+V$9-IF(AND(TipoOrçamento="REPROGRAMADOAC",$N$9&gt;0),$N$9,0),1),"mmm/aa"))</f>
        <v>Parcela 7
jan/20</v>
      </c>
      <c r="W10" s="222" t="str">
        <f ca="1">IF(AND(TipoOrçamento="REPROGRAMADOAC",$N$9&gt;0,U10="Valores Totais (R$)"),"Parcela "&amp;$N$9&amp;" Executado","Parcela "&amp;W$9&amp;CHAR(10)&amp;TEXT(DATE(YEAR(DADOS!$A$48),MONTH(DADOS!$A$48)+W$9-IF(AND(TipoOrçamento="REPROGRAMADOAC",$N$9&gt;0),$N$9,0),1),"mmm/aa"))</f>
        <v>Parcela 8
fev/20</v>
      </c>
      <c r="X10" s="195"/>
      <c r="AC10" s="210" t="str">
        <f ca="1">IF(AND(TipoOrçamento="REPROGRAMADOAC",$N$9&gt;0,AA10="Valores Totais (R$)"),"Parcela "&amp;$N$9&amp;" Executado","Parcela "&amp;AC$9&amp;CHAR(10)&amp;TEXT(DATE(YEAR(DADOS!$A$48),MONTH(DADOS!$A$48)+AC$9-IF(AND(TipoOrçamento="REPROGRAMADOAC",$N$9&gt;0),$N$9,0),1),"mmm/aa"))</f>
        <v>Parcela 1
jul/19</v>
      </c>
    </row>
    <row r="11" spans="1:29" customFormat="1" ht="14.25" hidden="1" customHeight="1" x14ac:dyDescent="0.2">
      <c r="A11" s="82"/>
      <c r="B11" s="82"/>
      <c r="C11" s="82"/>
      <c r="D11" s="82"/>
      <c r="E11" s="82"/>
      <c r="F11" s="82"/>
      <c r="G11" s="82"/>
      <c r="H11" s="82"/>
      <c r="I11" s="82"/>
      <c r="J11" s="82"/>
      <c r="K11" s="82"/>
      <c r="L11" s="391" t="e">
        <f ca="1">INDEX(PO!K$12:K$31,MATCH($A13,PO!$V$12:$V$31,0))</f>
        <v>#VALUE!</v>
      </c>
      <c r="M11" s="384" t="e">
        <f ca="1">INDEX(PO!N$12:N$31,MATCH($A13,PO!$V$12:$V$31,0))</f>
        <v>#VALUE!</v>
      </c>
      <c r="N11" s="382" t="e">
        <f ca="1">IF(ROUND(K13,2)=0,K13,ROUND(K13,2))</f>
        <v>#VALUE!</v>
      </c>
      <c r="O11" s="220" t="s">
        <v>144</v>
      </c>
      <c r="P11" s="226" t="e">
        <f ca="1">IF($B13,0,P12-IF(ISNUMBER(O12),O12,0))</f>
        <v>#VALUE!</v>
      </c>
      <c r="Q11" s="227" t="e">
        <f t="shared" ref="Q11:W11" ca="1" si="1">IF($B13,0,Q12-IF(ISNUMBER(P12),P12,0))</f>
        <v>#VALUE!</v>
      </c>
      <c r="R11" s="227" t="e">
        <f t="shared" ca="1" si="1"/>
        <v>#VALUE!</v>
      </c>
      <c r="S11" s="227" t="e">
        <f t="shared" ca="1" si="1"/>
        <v>#VALUE!</v>
      </c>
      <c r="T11" s="227" t="e">
        <f t="shared" ca="1" si="1"/>
        <v>#VALUE!</v>
      </c>
      <c r="U11" s="227" t="e">
        <f t="shared" ca="1" si="1"/>
        <v>#VALUE!</v>
      </c>
      <c r="V11" s="227" t="e">
        <f t="shared" ca="1" si="1"/>
        <v>#VALUE!</v>
      </c>
      <c r="W11" s="228" t="e">
        <f t="shared" ca="1" si="1"/>
        <v>#VALUE!</v>
      </c>
      <c r="X11" s="196"/>
      <c r="AC11" s="221" t="e">
        <f ca="1">IF($B13,0,AC12-IF(ISNUMBER(AB12),AB12,0))</f>
        <v>#VALUE!</v>
      </c>
    </row>
    <row r="12" spans="1:29" customFormat="1" ht="14.25" hidden="1" x14ac:dyDescent="0.2">
      <c r="A12" s="184"/>
      <c r="B12" s="184"/>
      <c r="C12" s="184"/>
      <c r="D12" s="184"/>
      <c r="E12" s="184"/>
      <c r="F12" s="184"/>
      <c r="G12" s="184"/>
      <c r="H12" s="184"/>
      <c r="I12" s="184"/>
      <c r="J12" s="184"/>
      <c r="K12" s="184"/>
      <c r="L12" s="392"/>
      <c r="M12" s="385"/>
      <c r="N12" s="383"/>
      <c r="O12" s="170" t="s">
        <v>146</v>
      </c>
      <c r="P12" s="198" t="e">
        <f ca="1">MIN(IF($B13,P11+IF(ISNUMBER(O12),O12,0),P13/$N11),1)</f>
        <v>#VALUE!</v>
      </c>
      <c r="Q12" s="168" t="e">
        <f t="shared" ref="Q12:W12" ca="1" si="2">MIN(IF($B13,Q11+IF(ISNUMBER(P12),P12,0),Q13/$N11),1)</f>
        <v>#VALUE!</v>
      </c>
      <c r="R12" s="168" t="e">
        <f t="shared" ca="1" si="2"/>
        <v>#VALUE!</v>
      </c>
      <c r="S12" s="168" t="e">
        <f t="shared" ca="1" si="2"/>
        <v>#VALUE!</v>
      </c>
      <c r="T12" s="168" t="e">
        <f t="shared" ca="1" si="2"/>
        <v>#VALUE!</v>
      </c>
      <c r="U12" s="168" t="e">
        <f t="shared" ca="1" si="2"/>
        <v>#VALUE!</v>
      </c>
      <c r="V12" s="168" t="e">
        <f t="shared" ca="1" si="2"/>
        <v>#VALUE!</v>
      </c>
      <c r="W12" s="168" t="e">
        <f t="shared" ca="1" si="2"/>
        <v>#VALUE!</v>
      </c>
      <c r="X12" s="196"/>
      <c r="AC12" s="168" t="e">
        <f ca="1">MIN(IF($B13,AC11+IF(ISNUMBER(AB12),AB12,0),AC13/$N11),1)</f>
        <v>#VALUE!</v>
      </c>
    </row>
    <row r="13" spans="1:29" customFormat="1" ht="14.25" hidden="1" x14ac:dyDescent="0.2">
      <c r="A13" s="184" t="e">
        <f ca="1">OFFSET(A13,-CFF.NumLinha,0)+1</f>
        <v>#VALUE!</v>
      </c>
      <c r="B13" s="184" t="e">
        <f ca="1">$C13&gt;=OFFSET($C13,CFF.NumLinha,0)</f>
        <v>#VALUE!</v>
      </c>
      <c r="C13" s="184" t="e">
        <f ca="1">INDEX(PO!A$12:A$31,MATCH($A13,PO!$V$12:$V$31,0))</f>
        <v>#VALUE!</v>
      </c>
      <c r="D13" s="184" t="e">
        <f ca="1">IF(ISERROR(J13),I13,SMALL(I13:J13,1))-1</f>
        <v>#VALUE!</v>
      </c>
      <c r="E13" s="184" t="e">
        <f ca="1">IF($C13=1,OFFSET(E13,-CFF.NumLinha,0)+1,OFFSET(E13,-CFF.NumLinha,0))</f>
        <v>#VALUE!</v>
      </c>
      <c r="F13" s="184" t="e">
        <f ca="1">IF($C13=1,0,IF($C13=2,OFFSET(F13,-CFF.NumLinha,0)+1,OFFSET(F13,-CFF.NumLinha,0)))</f>
        <v>#VALUE!</v>
      </c>
      <c r="G13" s="184" t="e">
        <f ca="1">IF(AND($C13&lt;=2,$C13&lt;&gt;0),0,IF($C13=3,OFFSET(G13,-CFF.NumLinha,0)+1,OFFSET(G13,-CFF.NumLinha,0)))</f>
        <v>#VALUE!</v>
      </c>
      <c r="H13" s="184" t="e">
        <f ca="1">IF(AND($C13&lt;=3,$C13&lt;&gt;0),0,IF($C13=4,OFFSET(H13,-CFF.NumLinha,0)+1,OFFSET(H13,-CFF.NumLinha,0)))</f>
        <v>#VALUE!</v>
      </c>
      <c r="I13" s="184" t="e">
        <f ca="1">MATCH(0,OFFSET($D13,1,$C13,ROW($A$21)-ROW($A13)),0)</f>
        <v>#VALUE!</v>
      </c>
      <c r="J13" s="184" t="e">
        <f ca="1">MATCH(OFFSET($D13,0,$C13)+1,OFFSET($D13,1,$C13,ROW($A$21)-ROW($A13)),0)</f>
        <v>#VALUE!</v>
      </c>
      <c r="K13" s="185" t="e">
        <f ca="1">ROUND(INDEX(PO!T$12:T$31,MATCH($A13,PO!$V$12:$V$31,0)),2)+10^-12</f>
        <v>#VALUE!</v>
      </c>
      <c r="L13" s="392"/>
      <c r="M13" s="385"/>
      <c r="N13" s="383"/>
      <c r="O13" s="204" t="s">
        <v>20</v>
      </c>
      <c r="P13" s="199" t="e">
        <f ca="1">IF($B13,ROUND(P12*$N11,2),ROUND(SUMIF(OFFSET($B13,1,0,$D13),TRUE,OFFSET(P13,1,0,$D13))/SUMIF(OFFSET($B13,1,0,$D13),TRUE,OFFSET($K13,1,0,$D13))*$N11,2))</f>
        <v>#VALUE!</v>
      </c>
      <c r="Q13" s="169" t="e">
        <f t="shared" ref="Q13:W13" ca="1" si="3">IF($B13,ROUND(Q12*$N11,2),ROUND(SUMIF(OFFSET($B13,1,0,$D13),TRUE,OFFSET(Q13,1,0,$D13))/SUMIF(OFFSET($B13,1,0,$D13),TRUE,OFFSET($K13,1,0,$D13))*$N11,2))</f>
        <v>#VALUE!</v>
      </c>
      <c r="R13" s="169" t="e">
        <f t="shared" ca="1" si="3"/>
        <v>#VALUE!</v>
      </c>
      <c r="S13" s="169" t="e">
        <f t="shared" ca="1" si="3"/>
        <v>#VALUE!</v>
      </c>
      <c r="T13" s="169" t="e">
        <f t="shared" ca="1" si="3"/>
        <v>#VALUE!</v>
      </c>
      <c r="U13" s="169" t="e">
        <f t="shared" ca="1" si="3"/>
        <v>#VALUE!</v>
      </c>
      <c r="V13" s="169" t="e">
        <f t="shared" ca="1" si="3"/>
        <v>#VALUE!</v>
      </c>
      <c r="W13" s="207" t="e">
        <f t="shared" ca="1" si="3"/>
        <v>#VALUE!</v>
      </c>
      <c r="X13" s="196"/>
      <c r="AC13" s="169" t="e">
        <f ca="1">IF($B13,ROUND(AC12*$N11,2),ROUND(SUMIF(OFFSET($B13,1,0,$D13),TRUE,OFFSET(AC13,1,0,$D13))/SUMIF(OFFSET($B13,1,0,$D13),TRUE,OFFSET($K13,1,0,$D13))*$N11,2))</f>
        <v>#VALUE!</v>
      </c>
    </row>
    <row r="14" spans="1:29" s="44" customFormat="1" ht="12.75" customHeight="1" x14ac:dyDescent="0.2">
      <c r="A14" s="1"/>
      <c r="B14" s="1"/>
      <c r="C14" s="1"/>
      <c r="D14" s="1"/>
      <c r="E14" s="1"/>
      <c r="F14" s="1"/>
      <c r="G14" s="1"/>
      <c r="H14" s="1"/>
      <c r="I14" s="1"/>
      <c r="J14" s="1"/>
      <c r="K14" s="1"/>
      <c r="L14" s="393" t="s">
        <v>19</v>
      </c>
      <c r="M14" s="394"/>
      <c r="N14" s="399">
        <f ca="1">IF(PO!$T$12=0,10^-12,PO!$T$12)</f>
        <v>233446.87999999995</v>
      </c>
      <c r="O14" s="167" t="s">
        <v>144</v>
      </c>
      <c r="P14" s="205">
        <f ca="1">ROUND(P15/$N14,4)</f>
        <v>0.33</v>
      </c>
      <c r="Q14" s="206">
        <f t="shared" ref="Q14:W14" ca="1" si="4">ROUND(Q15/$N14,4)</f>
        <v>0.34</v>
      </c>
      <c r="R14" s="206">
        <f t="shared" ca="1" si="4"/>
        <v>0.33</v>
      </c>
      <c r="S14" s="206">
        <f t="shared" ca="1" si="4"/>
        <v>0</v>
      </c>
      <c r="T14" s="206">
        <f t="shared" ca="1" si="4"/>
        <v>0</v>
      </c>
      <c r="U14" s="206">
        <f t="shared" ca="1" si="4"/>
        <v>0</v>
      </c>
      <c r="V14" s="206">
        <f t="shared" ca="1" si="4"/>
        <v>0</v>
      </c>
      <c r="W14" s="206">
        <f t="shared" ca="1" si="4"/>
        <v>0</v>
      </c>
      <c r="X14" s="171"/>
      <c r="AC14" s="206">
        <f ca="1">ROUND(AC15/$N14,4)</f>
        <v>0</v>
      </c>
    </row>
    <row r="15" spans="1:29" s="44" customFormat="1" ht="12.75" customHeight="1" x14ac:dyDescent="0.2">
      <c r="A15" s="1"/>
      <c r="B15" s="1"/>
      <c r="C15" s="1"/>
      <c r="D15" s="1"/>
      <c r="E15" s="1"/>
      <c r="F15" s="1"/>
      <c r="G15" s="1"/>
      <c r="H15" s="1"/>
      <c r="I15" s="1"/>
      <c r="J15" s="1"/>
      <c r="K15" s="1"/>
      <c r="L15" s="395"/>
      <c r="M15" s="396"/>
      <c r="N15" s="400"/>
      <c r="O15" s="156" t="s">
        <v>145</v>
      </c>
      <c r="P15" s="200">
        <f ca="1">P17-IF(ISNUMBER(O17),O17,0)</f>
        <v>77037.47</v>
      </c>
      <c r="Q15" s="150">
        <f t="shared" ref="Q15:W15" ca="1" si="5">Q17-IF(ISNUMBER(P17),P17,0)</f>
        <v>79371.94</v>
      </c>
      <c r="R15" s="150">
        <f t="shared" ca="1" si="5"/>
        <v>77037.47</v>
      </c>
      <c r="S15" s="150">
        <f t="shared" ca="1" si="5"/>
        <v>0</v>
      </c>
      <c r="T15" s="150">
        <f t="shared" ca="1" si="5"/>
        <v>0</v>
      </c>
      <c r="U15" s="150">
        <f t="shared" ca="1" si="5"/>
        <v>0</v>
      </c>
      <c r="V15" s="150">
        <f t="shared" ca="1" si="5"/>
        <v>0</v>
      </c>
      <c r="W15" s="150">
        <f t="shared" ca="1" si="5"/>
        <v>0</v>
      </c>
      <c r="X15" s="171"/>
      <c r="AC15" s="150">
        <f ca="1">AC17-IF(ISNUMBER(AB17),AB17,0)</f>
        <v>0</v>
      </c>
    </row>
    <row r="16" spans="1:29" s="44" customFormat="1" ht="12.75" customHeight="1" x14ac:dyDescent="0.2">
      <c r="A16" s="1"/>
      <c r="B16" s="1"/>
      <c r="C16" s="1"/>
      <c r="D16" s="1"/>
      <c r="E16" s="1"/>
      <c r="F16" s="1"/>
      <c r="G16" s="1"/>
      <c r="H16" s="1"/>
      <c r="I16" s="1"/>
      <c r="J16" s="1"/>
      <c r="K16" s="1"/>
      <c r="L16" s="395"/>
      <c r="M16" s="396"/>
      <c r="N16" s="400"/>
      <c r="O16" s="157" t="s">
        <v>146</v>
      </c>
      <c r="P16" s="201">
        <f ca="1">ROUND(P17/$N14,4)</f>
        <v>0.33</v>
      </c>
      <c r="Q16" s="151">
        <f t="shared" ref="Q16:W16" ca="1" si="6">ROUND(Q17/$N14,4)</f>
        <v>0.67</v>
      </c>
      <c r="R16" s="151">
        <f t="shared" ca="1" si="6"/>
        <v>1</v>
      </c>
      <c r="S16" s="151">
        <f t="shared" ca="1" si="6"/>
        <v>1</v>
      </c>
      <c r="T16" s="151">
        <f t="shared" ca="1" si="6"/>
        <v>1</v>
      </c>
      <c r="U16" s="151">
        <f t="shared" ca="1" si="6"/>
        <v>1</v>
      </c>
      <c r="V16" s="151">
        <f t="shared" ca="1" si="6"/>
        <v>1</v>
      </c>
      <c r="W16" s="151">
        <f t="shared" ca="1" si="6"/>
        <v>1</v>
      </c>
      <c r="X16" s="171"/>
      <c r="AC16" s="151">
        <f ca="1">ROUND(AC17/$N14,4)</f>
        <v>0</v>
      </c>
    </row>
    <row r="17" spans="1:29" s="44" customFormat="1" ht="12.75" customHeight="1" x14ac:dyDescent="0.2">
      <c r="A17" s="114">
        <v>0</v>
      </c>
      <c r="B17" s="1"/>
      <c r="C17" s="1"/>
      <c r="D17" s="114">
        <f>ROW(D$21)-ROW(D18)</f>
        <v>3</v>
      </c>
      <c r="E17" s="1"/>
      <c r="F17" s="1"/>
      <c r="G17" s="1"/>
      <c r="H17" s="1"/>
      <c r="I17" s="1"/>
      <c r="J17" s="1"/>
      <c r="K17" s="1"/>
      <c r="L17" s="397"/>
      <c r="M17" s="398"/>
      <c r="N17" s="401"/>
      <c r="O17" s="158" t="s">
        <v>20</v>
      </c>
      <c r="P17" s="202">
        <f ca="1">SUMIF(OFFSET($C17,1,0):$C$21,1,OFFSET(P17,1,0):P$21)</f>
        <v>77037.47</v>
      </c>
      <c r="Q17" s="152">
        <f ca="1">SUMIF(OFFSET($C17,1,0):$C$21,1,OFFSET(Q17,1,0):Q$21)</f>
        <v>156409.41</v>
      </c>
      <c r="R17" s="152">
        <f ca="1">SUMIF(OFFSET($C17,1,0):$C$21,1,OFFSET(R17,1,0):R$21)</f>
        <v>233446.88</v>
      </c>
      <c r="S17" s="152">
        <f ca="1">SUMIF(OFFSET($C17,1,0):$C$21,1,OFFSET(S17,1,0):S$21)</f>
        <v>233446.88</v>
      </c>
      <c r="T17" s="152">
        <f ca="1">SUMIF(OFFSET($C17,1,0):$C$21,1,OFFSET(T17,1,0):T$21)</f>
        <v>233446.88</v>
      </c>
      <c r="U17" s="152">
        <f ca="1">SUMIF(OFFSET($C17,1,0):$C$21,1,OFFSET(U17,1,0):U$21)</f>
        <v>233446.88</v>
      </c>
      <c r="V17" s="152">
        <f ca="1">SUMIF(OFFSET($C17,1,0):$C$21,1,OFFSET(V17,1,0):V$21)</f>
        <v>233446.88</v>
      </c>
      <c r="W17" s="152">
        <f ca="1">SUMIF(OFFSET($C17,1,0):$C$21,1,OFFSET(W17,1,0):W$21)</f>
        <v>233446.88</v>
      </c>
      <c r="X17" s="171"/>
      <c r="AC17" s="152">
        <f ca="1">SUMIF(OFFSET($C17,1,0):$C$21,1,OFFSET(AC17,1,0):AC$21)</f>
        <v>0</v>
      </c>
    </row>
    <row r="18" spans="1:29" customFormat="1" ht="14.25" customHeight="1" x14ac:dyDescent="0.2">
      <c r="A18" s="1"/>
      <c r="B18" s="1"/>
      <c r="C18" s="1"/>
      <c r="D18" s="1"/>
      <c r="E18" s="1"/>
      <c r="F18" s="1"/>
      <c r="G18" s="1"/>
      <c r="H18" s="1"/>
      <c r="I18" s="1"/>
      <c r="J18" s="1"/>
      <c r="K18" s="1"/>
      <c r="L18" s="391" t="str">
        <f ca="1">INDEX(PO!K$12:K$31,MATCH($A20,PO!$V$12:$V$31,0))</f>
        <v>1.</v>
      </c>
      <c r="M18" s="384" t="str">
        <f ca="1">INDEX(PO!N$12:N$31,MATCH($A20,PO!$V$12:$V$31,0))</f>
        <v>(digite a descrição aqui)</v>
      </c>
      <c r="N18" s="382">
        <f ca="1">IF(ROUND(K20,2)=0,K20,ROUND(K20,2))</f>
        <v>233446.88</v>
      </c>
      <c r="O18" s="203" t="s">
        <v>144</v>
      </c>
      <c r="P18" s="226">
        <v>0.33</v>
      </c>
      <c r="Q18" s="227">
        <v>0.34</v>
      </c>
      <c r="R18" s="227">
        <v>0.33</v>
      </c>
      <c r="S18" s="227">
        <f t="shared" ref="S18:W18" ca="1" si="7">IF($B20,0,S19-IF(ISNUMBER(R19),R19,0))</f>
        <v>0</v>
      </c>
      <c r="T18" s="227">
        <f t="shared" ca="1" si="7"/>
        <v>0</v>
      </c>
      <c r="U18" s="227">
        <f t="shared" ca="1" si="7"/>
        <v>0</v>
      </c>
      <c r="V18" s="227">
        <f t="shared" ca="1" si="7"/>
        <v>0</v>
      </c>
      <c r="W18" s="228">
        <f t="shared" ca="1" si="7"/>
        <v>0</v>
      </c>
      <c r="X18" s="197" t="s">
        <v>107</v>
      </c>
      <c r="AC18" s="221">
        <f ca="1">IF($B20,0,AC19-IF(ISNUMBER(AB19),AB19,0))</f>
        <v>0</v>
      </c>
    </row>
    <row r="19" spans="1:29" customFormat="1" ht="14.25" x14ac:dyDescent="0.2">
      <c r="A19" s="1"/>
      <c r="B19" s="1"/>
      <c r="C19" s="1"/>
      <c r="D19" s="1"/>
      <c r="E19" s="1"/>
      <c r="F19" s="1"/>
      <c r="G19" s="1"/>
      <c r="H19" s="1"/>
      <c r="I19" s="1"/>
      <c r="J19" s="1"/>
      <c r="K19" s="1"/>
      <c r="L19" s="392"/>
      <c r="M19" s="385"/>
      <c r="N19" s="383"/>
      <c r="O19" s="170" t="s">
        <v>146</v>
      </c>
      <c r="P19" s="198">
        <f t="shared" ref="P19:W19" ca="1" si="8">MIN(IF($B20,P18+IF(ISNUMBER(O19),O19,0),P20/$N18),1)</f>
        <v>0.33</v>
      </c>
      <c r="Q19" s="168">
        <f t="shared" ca="1" si="8"/>
        <v>0.67</v>
      </c>
      <c r="R19" s="168">
        <f t="shared" ca="1" si="8"/>
        <v>1</v>
      </c>
      <c r="S19" s="168">
        <f t="shared" ca="1" si="8"/>
        <v>1</v>
      </c>
      <c r="T19" s="168">
        <f t="shared" ca="1" si="8"/>
        <v>1</v>
      </c>
      <c r="U19" s="168">
        <f t="shared" ca="1" si="8"/>
        <v>1</v>
      </c>
      <c r="V19" s="168">
        <f t="shared" ca="1" si="8"/>
        <v>1</v>
      </c>
      <c r="W19" s="168">
        <f t="shared" ca="1" si="8"/>
        <v>1</v>
      </c>
      <c r="X19" s="196"/>
      <c r="AC19" s="168">
        <f ca="1">MIN(IF($B20,AC18+IF(ISNUMBER(AB19),AB19,0),AC20/$N18),1)</f>
        <v>0</v>
      </c>
    </row>
    <row r="20" spans="1:29" customFormat="1" ht="14.25" x14ac:dyDescent="0.2">
      <c r="A20" s="114">
        <f ca="1">OFFSET(A20,-CFF.NumLinha,0)+1</f>
        <v>1</v>
      </c>
      <c r="B20" s="1" t="b">
        <f ca="1">$C20&gt;=OFFSET($C20,CFF.NumLinha,0)</f>
        <v>1</v>
      </c>
      <c r="C20" s="184">
        <f ca="1">INDEX(PO!A$12:A$31,MATCH($A20,PO!$V$12:$V$31,0))</f>
        <v>1</v>
      </c>
      <c r="D20" s="184">
        <f ca="1">IF(ISERROR(J20),I20,SMALL(I20:J20,1))-1</f>
        <v>0</v>
      </c>
      <c r="E20" s="184">
        <f ca="1">IF($C20=1,OFFSET(E20,-CFF.NumLinha,0)+1,OFFSET(E20,-CFF.NumLinha,0))</f>
        <v>1</v>
      </c>
      <c r="F20" s="184">
        <f ca="1">IF($C20=1,0,IF($C20=2,OFFSET(F20,-CFF.NumLinha,0)+1,OFFSET(F20,-CFF.NumLinha,0)))</f>
        <v>0</v>
      </c>
      <c r="G20" s="184">
        <f ca="1">IF(AND($C20&lt;=2,$C20&lt;&gt;0),0,IF($C20=3,OFFSET(G20,-CFF.NumLinha,0)+1,OFFSET(G20,-CFF.NumLinha,0)))</f>
        <v>0</v>
      </c>
      <c r="H20" s="184">
        <f ca="1">IF(AND($C20&lt;=3,$C20&lt;&gt;0),0,IF($C20=4,OFFSET(H20,-CFF.NumLinha,0)+1,OFFSET(H20,-CFF.NumLinha,0)))</f>
        <v>0</v>
      </c>
      <c r="I20" s="184">
        <f ca="1">MATCH(0,OFFSET($D20,1,$C20,ROW($A$21)-ROW($A20)),0)</f>
        <v>1</v>
      </c>
      <c r="J20" s="184" t="e">
        <f ca="1">MATCH(OFFSET($D20,0,$C20)+1,OFFSET($D20,1,$C20,ROW($A$21)-ROW($A20)),0)</f>
        <v>#N/A</v>
      </c>
      <c r="K20" s="185">
        <f ca="1">ROUND(INDEX(PO!T$12:T$31,MATCH($A20,PO!$V$12:$V$31,0)),2)+10^-12</f>
        <v>233446.88</v>
      </c>
      <c r="L20" s="392"/>
      <c r="M20" s="385"/>
      <c r="N20" s="383"/>
      <c r="O20" s="204" t="s">
        <v>20</v>
      </c>
      <c r="P20" s="199">
        <f t="shared" ref="P20:W20" ca="1" si="9">IF($B20,ROUND(P19*$N18,2),ROUND(SUMIF(OFFSET($B20,1,0,$D20),TRUE,OFFSET(P20,1,0,$D20))/SUMIF(OFFSET($B20,1,0,$D20),TRUE,OFFSET($K20,1,0,$D20))*$N18,2))</f>
        <v>77037.47</v>
      </c>
      <c r="Q20" s="169">
        <f t="shared" ca="1" si="9"/>
        <v>156409.41</v>
      </c>
      <c r="R20" s="169">
        <f t="shared" ca="1" si="9"/>
        <v>233446.88</v>
      </c>
      <c r="S20" s="169">
        <f t="shared" ca="1" si="9"/>
        <v>233446.88</v>
      </c>
      <c r="T20" s="169">
        <f t="shared" ca="1" si="9"/>
        <v>233446.88</v>
      </c>
      <c r="U20" s="169">
        <f t="shared" ca="1" si="9"/>
        <v>233446.88</v>
      </c>
      <c r="V20" s="169">
        <f t="shared" ca="1" si="9"/>
        <v>233446.88</v>
      </c>
      <c r="W20" s="207">
        <f t="shared" ca="1" si="9"/>
        <v>233446.88</v>
      </c>
      <c r="X20" s="196"/>
      <c r="AC20" s="169">
        <f ca="1">IF($B20,ROUND(AC19*$N18,2),ROUND(SUMIF(OFFSET($B20,1,0,$D20),TRUE,OFFSET(AC20,1,0,$D20))/SUMIF(OFFSET($B20,1,0,$D20),TRUE,OFFSET($K20,1,0,$D20))*$N18,2))</f>
        <v>0</v>
      </c>
    </row>
    <row r="21" spans="1:29" s="45" customFormat="1" ht="12.75" customHeight="1" x14ac:dyDescent="0.2">
      <c r="A21" s="1"/>
      <c r="B21" s="1"/>
      <c r="C21" s="184">
        <v>-1</v>
      </c>
      <c r="D21" s="184"/>
      <c r="E21" s="184">
        <v>0</v>
      </c>
      <c r="F21" s="184">
        <v>0</v>
      </c>
      <c r="G21" s="184">
        <v>0</v>
      </c>
      <c r="H21" s="184">
        <v>0</v>
      </c>
      <c r="I21" s="1"/>
      <c r="J21" s="1"/>
      <c r="K21" s="1"/>
      <c r="L21" s="154"/>
      <c r="M21" s="154"/>
      <c r="N21" s="155"/>
      <c r="O21" s="154"/>
      <c r="P21" s="154"/>
      <c r="Q21" s="155"/>
      <c r="R21" s="154"/>
      <c r="S21" s="154"/>
      <c r="T21" s="154"/>
      <c r="U21" s="154"/>
      <c r="V21" s="154"/>
      <c r="W21" s="154"/>
      <c r="X21" s="186"/>
      <c r="AC21" s="154"/>
    </row>
    <row r="22" spans="1:29" ht="12" customHeight="1" x14ac:dyDescent="0.2">
      <c r="A22" s="1"/>
      <c r="B22" s="1"/>
      <c r="C22" s="1"/>
      <c r="D22" s="1"/>
      <c r="E22" s="1"/>
      <c r="F22" s="1"/>
      <c r="G22" s="1"/>
      <c r="H22" s="1"/>
      <c r="I22" s="1"/>
      <c r="J22" s="1"/>
      <c r="K22" s="1"/>
      <c r="L22" s="187"/>
      <c r="M22" s="187"/>
      <c r="N22" s="187"/>
      <c r="O22" s="187"/>
      <c r="P22" s="187"/>
      <c r="Q22" s="187"/>
      <c r="R22" s="187"/>
      <c r="S22" s="187"/>
      <c r="T22" s="187"/>
      <c r="U22" s="187"/>
      <c r="V22" s="187"/>
      <c r="W22" s="187"/>
      <c r="X22" s="188"/>
      <c r="AC22" s="187"/>
    </row>
    <row r="23" spans="1:29" x14ac:dyDescent="0.2">
      <c r="A23" s="1"/>
      <c r="B23" s="1"/>
      <c r="C23" s="1"/>
      <c r="D23" s="1"/>
      <c r="E23" s="1"/>
      <c r="F23" s="1"/>
      <c r="G23" s="1"/>
      <c r="H23" s="1"/>
      <c r="I23" s="1"/>
      <c r="J23" s="1"/>
      <c r="K23" s="1"/>
      <c r="L23" s="389">
        <f>DADOS!I32</f>
        <v>0</v>
      </c>
      <c r="M23" s="389"/>
      <c r="N23" s="389"/>
      <c r="O23" s="187"/>
      <c r="P23" s="189"/>
      <c r="Q23" s="386"/>
      <c r="R23" s="386"/>
      <c r="S23" s="386"/>
      <c r="T23" s="187"/>
      <c r="U23" s="187"/>
      <c r="V23" s="187"/>
      <c r="W23" s="187"/>
      <c r="X23" s="188"/>
      <c r="AC23" s="187"/>
    </row>
    <row r="24" spans="1:29" x14ac:dyDescent="0.2">
      <c r="A24" s="1"/>
      <c r="B24" s="1"/>
      <c r="C24" s="1"/>
      <c r="D24" s="1"/>
      <c r="E24" s="1"/>
      <c r="F24" s="1"/>
      <c r="G24" s="1"/>
      <c r="H24" s="1"/>
      <c r="I24" s="1"/>
      <c r="J24" s="1"/>
      <c r="K24" s="1"/>
      <c r="L24" s="190" t="s">
        <v>121</v>
      </c>
      <c r="M24" s="388"/>
      <c r="N24" s="388"/>
      <c r="O24" s="187"/>
      <c r="P24" s="189"/>
      <c r="Q24" s="386"/>
      <c r="R24" s="386"/>
      <c r="S24" s="386"/>
      <c r="T24" s="187"/>
      <c r="U24" s="187"/>
      <c r="V24" s="187"/>
      <c r="W24" s="187"/>
      <c r="X24" s="188"/>
      <c r="AC24" s="187"/>
    </row>
    <row r="25" spans="1:29" x14ac:dyDescent="0.2">
      <c r="A25" s="1"/>
      <c r="B25" s="1"/>
      <c r="C25" s="1"/>
      <c r="D25" s="1"/>
      <c r="E25" s="1"/>
      <c r="F25" s="1"/>
      <c r="G25" s="1"/>
      <c r="H25" s="1"/>
      <c r="I25" s="1"/>
      <c r="J25" s="1"/>
      <c r="K25" s="1"/>
      <c r="L25" s="189"/>
      <c r="M25" s="387"/>
      <c r="N25" s="388"/>
      <c r="O25" s="187"/>
      <c r="P25" s="189"/>
      <c r="Q25" s="386"/>
      <c r="R25" s="386"/>
      <c r="S25" s="386"/>
      <c r="T25" s="187"/>
      <c r="U25" s="187"/>
      <c r="V25" s="187"/>
      <c r="W25" s="187"/>
      <c r="X25" s="188"/>
      <c r="AC25" s="187"/>
    </row>
    <row r="26" spans="1:29" x14ac:dyDescent="0.2">
      <c r="A26" s="1"/>
      <c r="B26" s="1"/>
      <c r="C26" s="1"/>
      <c r="D26" s="1"/>
      <c r="E26" s="1"/>
      <c r="F26" s="1"/>
      <c r="G26" s="1"/>
      <c r="H26" s="1"/>
      <c r="I26" s="1"/>
      <c r="J26" s="1"/>
      <c r="K26" s="1"/>
      <c r="L26" s="390">
        <f ca="1">PO!K45</f>
        <v>43643</v>
      </c>
      <c r="M26" s="390"/>
      <c r="N26" s="390"/>
      <c r="O26" s="187"/>
      <c r="P26" s="187"/>
      <c r="Q26" s="187"/>
      <c r="R26" s="187"/>
      <c r="S26" s="187"/>
      <c r="T26" s="187"/>
      <c r="U26" s="187"/>
      <c r="V26" s="187"/>
      <c r="W26" s="187"/>
      <c r="X26" s="191"/>
      <c r="AC26" s="187"/>
    </row>
    <row r="27" spans="1:29" x14ac:dyDescent="0.2">
      <c r="A27" s="1"/>
      <c r="B27" s="1"/>
      <c r="C27" s="1"/>
      <c r="D27" s="1"/>
      <c r="E27" s="1"/>
      <c r="F27" s="1"/>
      <c r="G27" s="1"/>
      <c r="H27" s="1"/>
      <c r="I27" s="1"/>
      <c r="J27" s="1"/>
      <c r="K27" s="1"/>
      <c r="L27" s="192" t="s">
        <v>122</v>
      </c>
      <c r="M27" s="193"/>
      <c r="N27" s="193"/>
      <c r="O27" s="187"/>
      <c r="P27" s="187"/>
      <c r="Q27" s="187"/>
      <c r="R27" s="187"/>
      <c r="S27" s="187"/>
      <c r="T27" s="187"/>
      <c r="U27" s="187"/>
      <c r="V27" s="187"/>
      <c r="W27" s="187"/>
      <c r="X27" s="191"/>
      <c r="AC27" s="187"/>
    </row>
    <row r="28" spans="1:29" x14ac:dyDescent="0.2">
      <c r="A28" s="1"/>
      <c r="B28" s="1"/>
      <c r="C28" s="1"/>
      <c r="D28" s="1"/>
      <c r="E28" s="1"/>
      <c r="F28" s="1"/>
      <c r="G28" s="1"/>
      <c r="H28" s="1"/>
      <c r="I28" s="1"/>
      <c r="J28" s="1"/>
      <c r="K28" s="1"/>
      <c r="L28" s="187"/>
      <c r="M28" s="187"/>
      <c r="N28" s="187"/>
      <c r="O28" s="187"/>
      <c r="P28" s="187"/>
      <c r="Q28" s="187"/>
      <c r="R28" s="187"/>
      <c r="S28" s="187"/>
      <c r="T28" s="187"/>
      <c r="U28" s="187"/>
      <c r="V28" s="187"/>
      <c r="W28" s="187"/>
      <c r="X28" s="191"/>
      <c r="AC28" s="187"/>
    </row>
    <row r="29" spans="1:29" x14ac:dyDescent="0.2">
      <c r="A29" s="1"/>
      <c r="B29" s="1"/>
      <c r="C29" s="1"/>
      <c r="D29" s="1"/>
      <c r="E29" s="1"/>
      <c r="F29" s="1"/>
      <c r="G29" s="1"/>
      <c r="H29" s="1"/>
      <c r="I29" s="1"/>
      <c r="J29" s="1"/>
      <c r="K29" s="1"/>
      <c r="L29" s="187"/>
      <c r="M29" s="187"/>
      <c r="N29" s="194"/>
      <c r="O29" s="187"/>
      <c r="P29" s="187"/>
      <c r="Q29" s="187"/>
      <c r="R29" s="187"/>
      <c r="S29" s="187"/>
      <c r="T29" s="187"/>
      <c r="U29" s="187"/>
      <c r="V29" s="187"/>
      <c r="W29" s="187"/>
      <c r="X29" s="188"/>
      <c r="AC29" s="187"/>
    </row>
    <row r="30" spans="1:29" x14ac:dyDescent="0.2">
      <c r="A30" s="1"/>
      <c r="B30" s="1"/>
      <c r="C30" s="1"/>
      <c r="D30" s="1"/>
      <c r="E30" s="1"/>
      <c r="F30" s="1"/>
      <c r="G30" s="1"/>
      <c r="H30" s="1"/>
      <c r="I30" s="1"/>
      <c r="J30" s="1"/>
      <c r="K30" s="1"/>
      <c r="L30" s="187"/>
      <c r="M30" s="187"/>
      <c r="N30" s="194"/>
      <c r="O30" s="187"/>
      <c r="P30" s="187"/>
      <c r="Q30" s="187"/>
      <c r="R30" s="187"/>
      <c r="S30" s="187"/>
      <c r="T30" s="187"/>
      <c r="U30" s="187"/>
      <c r="V30" s="187"/>
      <c r="W30" s="187"/>
      <c r="X30" s="188"/>
      <c r="AC30" s="187"/>
    </row>
    <row r="31" spans="1:29" x14ac:dyDescent="0.2">
      <c r="A31" s="1"/>
      <c r="B31" s="1"/>
      <c r="C31" s="1"/>
      <c r="D31" s="1"/>
      <c r="E31" s="1"/>
      <c r="F31" s="1"/>
      <c r="G31" s="1"/>
      <c r="H31" s="1"/>
      <c r="I31" s="1"/>
      <c r="J31" s="1"/>
      <c r="K31" s="1"/>
      <c r="L31" s="82"/>
      <c r="M31" s="82"/>
      <c r="N31" s="7"/>
      <c r="O31" s="82"/>
      <c r="P31" s="82"/>
      <c r="Q31" s="82"/>
      <c r="R31" s="82"/>
      <c r="S31" s="82"/>
      <c r="T31" s="82"/>
      <c r="U31" s="82"/>
      <c r="V31" s="82"/>
      <c r="W31" s="187"/>
      <c r="X31" s="188"/>
      <c r="AC31" s="82"/>
    </row>
  </sheetData>
  <sheetProtection password="C95B" sheet="1" objects="1" scenarios="1"/>
  <mergeCells count="16">
    <mergeCell ref="L26:N26"/>
    <mergeCell ref="L11:L13"/>
    <mergeCell ref="M11:M13"/>
    <mergeCell ref="L14:M17"/>
    <mergeCell ref="N14:N17"/>
    <mergeCell ref="L18:L20"/>
    <mergeCell ref="L8:M8"/>
    <mergeCell ref="N11:N13"/>
    <mergeCell ref="M18:M20"/>
    <mergeCell ref="N18:N20"/>
    <mergeCell ref="Q25:S25"/>
    <mergeCell ref="M25:N25"/>
    <mergeCell ref="Q24:S24"/>
    <mergeCell ref="Q23:S23"/>
    <mergeCell ref="L23:N23"/>
    <mergeCell ref="M24:N24"/>
  </mergeCells>
  <phoneticPr fontId="20" type="noConversion"/>
  <conditionalFormatting sqref="L11:N11 L12:M13 L18:N18">
    <cfRule type="expression" dxfId="47" priority="1001" stopIfTrue="1">
      <formula>$C13=1</formula>
    </cfRule>
  </conditionalFormatting>
  <conditionalFormatting sqref="O11 O18">
    <cfRule type="expression" dxfId="46" priority="1073" stopIfTrue="1">
      <formula>$B13=FALSE</formula>
    </cfRule>
    <cfRule type="expression" dxfId="45" priority="1074" stopIfTrue="1">
      <formula>$C13=1</formula>
    </cfRule>
  </conditionalFormatting>
  <conditionalFormatting sqref="P12:W12">
    <cfRule type="expression" dxfId="44" priority="1063" stopIfTrue="1">
      <formula>AND(ISNUMBER(O13),O13&gt;=$N11)</formula>
    </cfRule>
    <cfRule type="cellIs" dxfId="43" priority="1064" stopIfTrue="1" operator="notBetween">
      <formula>0</formula>
      <formula>1</formula>
    </cfRule>
  </conditionalFormatting>
  <conditionalFormatting sqref="P13:W13">
    <cfRule type="expression" dxfId="42" priority="1065" stopIfTrue="1">
      <formula>AND(ISNUMBER(O13),O13&gt;=$N11)</formula>
    </cfRule>
    <cfRule type="cellIs" dxfId="41" priority="1066" stopIfTrue="1" operator="notBetween">
      <formula>0</formula>
      <formula>$N11</formula>
    </cfRule>
  </conditionalFormatting>
  <conditionalFormatting sqref="P14:W14">
    <cfRule type="expression" dxfId="40" priority="1067" stopIfTrue="1">
      <formula>AND(ISNUMBER(O17),O17&gt;=$N14)</formula>
    </cfRule>
  </conditionalFormatting>
  <conditionalFormatting sqref="P15:W15">
    <cfRule type="expression" dxfId="39" priority="1068" stopIfTrue="1">
      <formula>AND(ISNUMBER(O17),O17&gt;=$N14)</formula>
    </cfRule>
  </conditionalFormatting>
  <conditionalFormatting sqref="P16:W16">
    <cfRule type="expression" dxfId="38" priority="1069" stopIfTrue="1">
      <formula>AND(ISNUMBER(O17),O17&gt;=$N14)</formula>
    </cfRule>
    <cfRule type="cellIs" dxfId="37" priority="1070" stopIfTrue="1" operator="notBetween">
      <formula>0</formula>
      <formula>1</formula>
    </cfRule>
  </conditionalFormatting>
  <conditionalFormatting sqref="P17:W17">
    <cfRule type="expression" dxfId="36" priority="1071" stopIfTrue="1">
      <formula>AND(ISNUMBER(O17),O17&gt;=$N14)</formula>
    </cfRule>
    <cfRule type="cellIs" dxfId="35" priority="1072" stopIfTrue="1" operator="notBetween">
      <formula>0</formula>
      <formula>$N14</formula>
    </cfRule>
  </conditionalFormatting>
  <conditionalFormatting sqref="L8">
    <cfRule type="cellIs" dxfId="34" priority="1058" stopIfTrue="1" operator="notEqual">
      <formula>""</formula>
    </cfRule>
  </conditionalFormatting>
  <conditionalFormatting sqref="N9">
    <cfRule type="expression" dxfId="33" priority="1057" stopIfTrue="1">
      <formula>TipoOrçamento&lt;&gt;"REPROGRAMADOAC"</formula>
    </cfRule>
  </conditionalFormatting>
  <conditionalFormatting sqref="L19:M20">
    <cfRule type="expression" dxfId="32" priority="1892" stopIfTrue="1">
      <formula>#REF!=1</formula>
    </cfRule>
  </conditionalFormatting>
  <conditionalFormatting sqref="P11:W11">
    <cfRule type="expression" dxfId="31" priority="212" stopIfTrue="1">
      <formula>AND(ISNUMBER(O13),O13&gt;=$N11)</formula>
    </cfRule>
    <cfRule type="expression" dxfId="30" priority="213" stopIfTrue="1">
      <formula>$B13=FALSE</formula>
    </cfRule>
    <cfRule type="expression" dxfId="29" priority="214" stopIfTrue="1">
      <formula>$C13=1</formula>
    </cfRule>
  </conditionalFormatting>
  <conditionalFormatting sqref="P19:W19">
    <cfRule type="expression" dxfId="28" priority="163" stopIfTrue="1">
      <formula>AND(ISNUMBER(O20),O20&gt;=$N18)</formula>
    </cfRule>
    <cfRule type="cellIs" dxfId="27" priority="164" stopIfTrue="1" operator="notBetween">
      <formula>0</formula>
      <formula>1</formula>
    </cfRule>
  </conditionalFormatting>
  <conditionalFormatting sqref="P20:W20">
    <cfRule type="expression" dxfId="26" priority="165" stopIfTrue="1">
      <formula>AND(ISNUMBER(O20),O20&gt;=$N18)</formula>
    </cfRule>
    <cfRule type="cellIs" dxfId="25" priority="166" stopIfTrue="1" operator="notBetween">
      <formula>0</formula>
      <formula>$N18</formula>
    </cfRule>
  </conditionalFormatting>
  <conditionalFormatting sqref="O10:W10">
    <cfRule type="expression" dxfId="24" priority="135" stopIfTrue="1">
      <formula>1=1</formula>
    </cfRule>
  </conditionalFormatting>
  <conditionalFormatting sqref="P18:W18">
    <cfRule type="expression" dxfId="23" priority="90" stopIfTrue="1">
      <formula>AND(ISNUMBER(O20),O20&gt;=$N18)</formula>
    </cfRule>
    <cfRule type="expression" dxfId="22" priority="91" stopIfTrue="1">
      <formula>$B20=FALSE</formula>
    </cfRule>
    <cfRule type="expression" dxfId="21" priority="92" stopIfTrue="1">
      <formula>$C20=1</formula>
    </cfRule>
  </conditionalFormatting>
  <conditionalFormatting sqref="AC18">
    <cfRule type="expression" dxfId="20" priority="10" stopIfTrue="1">
      <formula>AND(ISNUMBER(AB20),AB20&gt;=$N18)</formula>
    </cfRule>
    <cfRule type="expression" dxfId="19" priority="11" stopIfTrue="1">
      <formula>$B20=FALSE</formula>
    </cfRule>
    <cfRule type="expression" dxfId="18" priority="12" stopIfTrue="1">
      <formula>$C20=1</formula>
    </cfRule>
  </conditionalFormatting>
  <conditionalFormatting sqref="AC12">
    <cfRule type="expression" dxfId="17" priority="25" stopIfTrue="1">
      <formula>AND(ISNUMBER(AB13),AB13&gt;=$N11)</formula>
    </cfRule>
    <cfRule type="cellIs" dxfId="16" priority="26" stopIfTrue="1" operator="notBetween">
      <formula>0</formula>
      <formula>1</formula>
    </cfRule>
  </conditionalFormatting>
  <conditionalFormatting sqref="AC13">
    <cfRule type="expression" dxfId="15" priority="27" stopIfTrue="1">
      <formula>AND(ISNUMBER(AB13),AB13&gt;=$N11)</formula>
    </cfRule>
    <cfRule type="cellIs" dxfId="14" priority="28" stopIfTrue="1" operator="notBetween">
      <formula>0</formula>
      <formula>$N11</formula>
    </cfRule>
  </conditionalFormatting>
  <conditionalFormatting sqref="AC14">
    <cfRule type="expression" dxfId="13" priority="29" stopIfTrue="1">
      <formula>AND(ISNUMBER(AB17),AB17&gt;=$N14)</formula>
    </cfRule>
  </conditionalFormatting>
  <conditionalFormatting sqref="AC15">
    <cfRule type="expression" dxfId="12" priority="30" stopIfTrue="1">
      <formula>AND(ISNUMBER(AB17),AB17&gt;=$N14)</formula>
    </cfRule>
  </conditionalFormatting>
  <conditionalFormatting sqref="AC16">
    <cfRule type="expression" dxfId="11" priority="31" stopIfTrue="1">
      <formula>AND(ISNUMBER(AB17),AB17&gt;=$N14)</formula>
    </cfRule>
    <cfRule type="cellIs" dxfId="10" priority="32" stopIfTrue="1" operator="notBetween">
      <formula>0</formula>
      <formula>1</formula>
    </cfRule>
  </conditionalFormatting>
  <conditionalFormatting sqref="AC17">
    <cfRule type="expression" dxfId="9" priority="33" stopIfTrue="1">
      <formula>AND(ISNUMBER(AB17),AB17&gt;=$N14)</formula>
    </cfRule>
    <cfRule type="cellIs" dxfId="8" priority="34" stopIfTrue="1" operator="notBetween">
      <formula>0</formula>
      <formula>$N14</formula>
    </cfRule>
  </conditionalFormatting>
  <conditionalFormatting sqref="AC11">
    <cfRule type="expression" dxfId="7" priority="22" stopIfTrue="1">
      <formula>AND(ISNUMBER(AB13),AB13&gt;=$N11)</formula>
    </cfRule>
    <cfRule type="expression" dxfId="6" priority="23" stopIfTrue="1">
      <formula>$B13=FALSE</formula>
    </cfRule>
    <cfRule type="expression" dxfId="5" priority="24" stopIfTrue="1">
      <formula>$C13=1</formula>
    </cfRule>
  </conditionalFormatting>
  <conditionalFormatting sqref="AC19">
    <cfRule type="expression" dxfId="4" priority="18" stopIfTrue="1">
      <formula>AND(ISNUMBER(AB20),AB20&gt;=$N18)</formula>
    </cfRule>
    <cfRule type="cellIs" dxfId="3" priority="19" stopIfTrue="1" operator="notBetween">
      <formula>0</formula>
      <formula>1</formula>
    </cfRule>
  </conditionalFormatting>
  <conditionalFormatting sqref="AC20">
    <cfRule type="expression" dxfId="2" priority="20" stopIfTrue="1">
      <formula>AND(ISNUMBER(AB20),AB20&gt;=$N18)</formula>
    </cfRule>
    <cfRule type="cellIs" dxfId="1" priority="21" stopIfTrue="1" operator="notBetween">
      <formula>0</formula>
      <formula>$N18</formula>
    </cfRule>
  </conditionalFormatting>
  <conditionalFormatting sqref="AC10">
    <cfRule type="expression" dxfId="0" priority="13" stopIfTrue="1">
      <formula>1=1</formula>
    </cfRule>
  </conditionalFormatting>
  <dataValidations count="2">
    <dataValidation type="whole" operator="greaterThanOrEqual" allowBlank="1" showInputMessage="1" showErrorMessage="1" errorTitle="Erro de Valor" error="Digite somente números inteiros positivos." promptTitle="Qtde de Medições já realizadas:" prompt="Digite a quantidade de medições já realizadas para o CTEF antes da Reprogramação." sqref="N9" xr:uid="{00000000-0002-0000-0400-000000000000}">
      <formula1>0</formula1>
    </dataValidation>
    <dataValidation type="decimal" allowBlank="1" showInputMessage="1" showErrorMessage="1" errorTitle="Erro de Dados" error="Digite valores maiores ou iguais à 0%. O % acumulado não deve ultrapassar 100%." sqref="P11:W11 P18:W18 AC11 AC18" xr:uid="{00000000-0002-0000-0400-000001000000}">
      <formula1>0</formula1>
      <formula2>1-SUM($P11:P11)+P11</formula2>
    </dataValidation>
  </dataValidations>
  <printOptions horizontalCentered="1"/>
  <pageMargins left="0.78740157480314965" right="0.78740157480314965" top="0.78740157480314965" bottom="0.78740157480314965" header="0.59055118110236227" footer="0.59055118110236227"/>
  <pageSetup paperSize="9" scale="62" fitToWidth="0" fitToHeight="0" orientation="landscape" r:id="rId1"/>
  <headerFooter alignWithMargins="0">
    <oddHeader>&amp;C&amp;14I</oddHeader>
    <oddFooter>&amp;R&amp;P&amp;L27.476 v008   micro</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59</vt:i4>
      </vt:variant>
    </vt:vector>
  </HeadingPairs>
  <TitlesOfParts>
    <vt:vector size="64" baseType="lpstr">
      <vt:lpstr>DADOS</vt:lpstr>
      <vt:lpstr>BDI (1)</vt:lpstr>
      <vt:lpstr>PO</vt:lpstr>
      <vt:lpstr>PLQ</vt:lpstr>
      <vt:lpstr>CFF</vt:lpstr>
      <vt:lpstr>PLQ!_FiltrarBancodeDados</vt:lpstr>
      <vt:lpstr>PO!_FiltrarBancodeDados</vt:lpstr>
      <vt:lpstr>'BDI (1)'!Area_de_impressao</vt:lpstr>
      <vt:lpstr>CFF!Area_de_impressao</vt:lpstr>
      <vt:lpstr>DADOS!Area_de_impressao</vt:lpstr>
      <vt:lpstr>PLQ!Area_de_impressao</vt:lpstr>
      <vt:lpstr>PO!Area_de_impressao</vt:lpstr>
      <vt:lpstr>CFF.ColunaPadrão</vt:lpstr>
      <vt:lpstr>CFF.Colunas</vt:lpstr>
      <vt:lpstr>CFF.LinhaPadrão</vt:lpstr>
      <vt:lpstr>PO!Código</vt:lpstr>
      <vt:lpstr>Dados.Assinatura1</vt:lpstr>
      <vt:lpstr>Dados.Assinatura2</vt:lpstr>
      <vt:lpstr>Dados.Lista.Acompanhamento</vt:lpstr>
      <vt:lpstr>Dados.Lista.BDI</vt:lpstr>
      <vt:lpstr>Dados.Lista.Localidade</vt:lpstr>
      <vt:lpstr>Dados.Lista.RegimeExecução</vt:lpstr>
      <vt:lpstr>PO!Fonte</vt:lpstr>
      <vt:lpstr>Import.Ação</vt:lpstr>
      <vt:lpstr>Import.Apelido</vt:lpstr>
      <vt:lpstr>Import.CNPJ</vt:lpstr>
      <vt:lpstr>Import.CR</vt:lpstr>
      <vt:lpstr>Import.CTEF</vt:lpstr>
      <vt:lpstr>Import.DadosBDI</vt:lpstr>
      <vt:lpstr>Import.DataAssinaturaCTEF</vt:lpstr>
      <vt:lpstr>Import.DataBase</vt:lpstr>
      <vt:lpstr>Import.DataBaseLicit</vt:lpstr>
      <vt:lpstr>Import.DataInícioObra</vt:lpstr>
      <vt:lpstr>Import.DescLote</vt:lpstr>
      <vt:lpstr>Import.Desoneracao</vt:lpstr>
      <vt:lpstr>Import.DesoneracaoLicit</vt:lpstr>
      <vt:lpstr>Import.Empresa</vt:lpstr>
      <vt:lpstr>Import.Gestor</vt:lpstr>
      <vt:lpstr>Import.Localidade</vt:lpstr>
      <vt:lpstr>Import.LocalSINAPI</vt:lpstr>
      <vt:lpstr>Import.Município</vt:lpstr>
      <vt:lpstr>Import.ObjetoCR</vt:lpstr>
      <vt:lpstr>Import.ObjetoCTEF</vt:lpstr>
      <vt:lpstr>Import.POArred</vt:lpstr>
      <vt:lpstr>Import.Programa</vt:lpstr>
      <vt:lpstr>Import.Proponente</vt:lpstr>
      <vt:lpstr>Import.RegimeExecução</vt:lpstr>
      <vt:lpstr>Import.Vigência</vt:lpstr>
      <vt:lpstr>Linhacabeçalhodados</vt:lpstr>
      <vt:lpstr>LinhaEncargosSociais</vt:lpstr>
      <vt:lpstr>PO!linhaSINAPIxls</vt:lpstr>
      <vt:lpstr>NMaxCrono</vt:lpstr>
      <vt:lpstr>Objeto</vt:lpstr>
      <vt:lpstr>ORÇAMENTO.OpcaoCusto</vt:lpstr>
      <vt:lpstr>PLQ.ColunaPadrão</vt:lpstr>
      <vt:lpstr>PLQ.Colunas</vt:lpstr>
      <vt:lpstr>PLQ.FormulaQuant</vt:lpstr>
      <vt:lpstr>PLQ.LinhaPadrão</vt:lpstr>
      <vt:lpstr>PO.FormulaQuant</vt:lpstr>
      <vt:lpstr>PO.LinhaPadrão</vt:lpstr>
      <vt:lpstr>CFF!Titulos_de_impressao</vt:lpstr>
      <vt:lpstr>PLQ!Titulos_de_impressao</vt:lpstr>
      <vt:lpstr>PO!Titulos_de_impressao</vt:lpstr>
      <vt:lpstr>Versao</vt:lpstr>
    </vt:vector>
  </TitlesOfParts>
  <Company>caixa econômica federal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Usuario</cp:lastModifiedBy>
  <cp:lastPrinted>2019-06-27T14:12:43Z</cp:lastPrinted>
  <dcterms:created xsi:type="dcterms:W3CDTF">1998-03-27T18:43:07Z</dcterms:created>
  <dcterms:modified xsi:type="dcterms:W3CDTF">2019-06-27T14:20:09Z</dcterms:modified>
</cp:coreProperties>
</file>